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85" windowHeight="8700" tabRatio="631" activeTab="0"/>
  </bookViews>
  <sheets>
    <sheet name="Cut Ballast Calculator Cover" sheetId="1" r:id="rId1"/>
    <sheet name="2305" sheetId="2" r:id="rId2"/>
    <sheet name="2X20" sheetId="3" r:id="rId3"/>
    <sheet name="3005" sheetId="4" r:id="rId4"/>
    <sheet name="3E" sheetId="5" r:id="rId5"/>
    <sheet name="3X20" sheetId="6" r:id="rId6"/>
    <sheet name="4005" sheetId="7" r:id="rId7"/>
    <sheet name="4105" sheetId="8" r:id="rId8"/>
    <sheet name="4X20" sheetId="9" r:id="rId9"/>
    <sheet name="Tractor Spec" sheetId="10" state="hidden" r:id="rId10"/>
    <sheet name="Attachment" sheetId="11" state="hidden" r:id="rId11"/>
    <sheet name="Weights" sheetId="12" state="hidden" r:id="rId12"/>
    <sheet name="Tires" sheetId="13" state="hidden" r:id="rId13"/>
    <sheet name="notes" sheetId="14" state="hidden" r:id="rId14"/>
  </sheets>
  <definedNames>
    <definedName name="ATTACHMENTSFRONT">'Attachment'!$A$121:$A$130</definedName>
    <definedName name="ATTACHMENTSMID">'Attachment'!$A$133:$A$142</definedName>
    <definedName name="ATTACHMENTSREAR">'Attachment'!$A$12:$A$80</definedName>
    <definedName name="CAB3X20">'Tractor Spec'!$A$21:$A$22</definedName>
    <definedName name="CAB4X20">'Tractor Spec'!$A$24:$A$25</definedName>
    <definedName name="Front_4105">'Tires'!$S$65:$S$66</definedName>
    <definedName name="FRONTTIRES2305">'Tires'!$S$20:$S$21</definedName>
    <definedName name="FRONTTIRES2X20">'Tires'!$S$27:$S$29</definedName>
    <definedName name="FRONTTIRES3005">'Tires'!$S$52:$S$55</definedName>
    <definedName name="FRONTTIRES3E">'Tires'!$S$70:$S$72</definedName>
    <definedName name="FRONTTIRES3X20">'Tires'!$S$36:$S$40</definedName>
    <definedName name="FRONTTIRES4005">'Tires'!$S$59:$S$62</definedName>
    <definedName name="FRONTTIRES4X20">'Tires'!$S$45:$S$48</definedName>
    <definedName name="IMATCH">'Attachment'!$A$3:$A$4</definedName>
    <definedName name="Large_Chassis_Tires">'Tires'!$S$41:$Y$48</definedName>
    <definedName name="LOADER2305">'Attachment'!$A$146:$A$148</definedName>
    <definedName name="LOADER3005">'Attachment'!$A$149:$A$150</definedName>
    <definedName name="LOADER3E">'Attachment'!$A$154:$A$155</definedName>
    <definedName name="LOADER3X20">'Attachment'!$A$151:$A$153</definedName>
    <definedName name="LOADER4005">'Attachment'!$A$151:$A$152</definedName>
    <definedName name="LOADER4X20">'Attachment'!$A$156:$A$158</definedName>
    <definedName name="Rear_4105">'Tires'!$S$63:$S$64</definedName>
    <definedName name="REARTIRES2305">'Tires'!$S$18:$S$19</definedName>
    <definedName name="REARTIRES2X20">'Tires'!$S$23:$S$26</definedName>
    <definedName name="REARTIRES3005">'Tires'!$S$49:$S$51</definedName>
    <definedName name="REARTIRES3E">'Tires'!$S$67:$S$69</definedName>
    <definedName name="REARTIRES3X20">'Tires'!$S$31:$S$35</definedName>
    <definedName name="REARTIRES4005">'Tires'!$S$56:$S$58</definedName>
    <definedName name="REARTIRES4X20">'Tires'!$S$41:$S$44</definedName>
    <definedName name="TIREFLUID">'Tires'!$S$2:$S$3</definedName>
    <definedName name="TIREFLUIDFRONT">'Tires'!$S$4:$S$5</definedName>
    <definedName name="WEIGHTBRACKET2000">'Weights'!$A$5:$A$6</definedName>
    <definedName name="WEIGHTBRACKET3005">'Weights'!$A$50:$A$51</definedName>
    <definedName name="WEIGHTBRACKET3E">'Weights'!$A$69:$A$70</definedName>
    <definedName name="WEIGHTBRACKET3X20">'Weights'!$A$74:$A$75</definedName>
    <definedName name="WEIGHTBRACKET4005">'Weights'!$A$54:$A$55</definedName>
    <definedName name="WEIGHTQTY2305">'Weights'!$B$8:$B$15</definedName>
    <definedName name="WEIGHTQTY2X20">'Weights'!$B$8:$B$20</definedName>
    <definedName name="WEIGHTQTY3005">'Weights'!$B$8:$B$12</definedName>
    <definedName name="WEIGHTQTY3E">'Weights'!$B$8:$B$18</definedName>
    <definedName name="WEIGHTQTY4X20">'Weights'!$B$8:$B$20</definedName>
    <definedName name="WEIGHTREAR2305">'Weights'!$A$23:$A$28</definedName>
    <definedName name="WEIGHTREAR2X20">'Weights'!$A$31:$A$34</definedName>
    <definedName name="WEIGHTREAR3005">'Weights'!$A$40:$A$46</definedName>
    <definedName name="WEIGHTREAR4005">'Weights'!$A$59:$A$65</definedName>
    <definedName name="WEIGHTS">'Weights'!$A$9:$A$10</definedName>
    <definedName name="X_3005">'Tractor Spec'!$A$11:$A$12</definedName>
    <definedName name="X_3E">'Tractor Spec'!$A$6:$A$7</definedName>
    <definedName name="X_4005">'Tractor Spec'!$A$13:$A$14</definedName>
    <definedName name="X_4105">'Tractor Spec'!$A$15</definedName>
    <definedName name="X20_2000">'Tractor Spec'!$A$3:$A$5</definedName>
    <definedName name="X20_3000">'Tractor Spec'!$A$8:$A$10</definedName>
    <definedName name="X20_4000">'Tractor Spec'!$A$16:$A$19</definedName>
  </definedNames>
  <calcPr fullCalcOnLoad="1"/>
</workbook>
</file>

<file path=xl/comments10.xml><?xml version="1.0" encoding="utf-8"?>
<comments xmlns="http://schemas.openxmlformats.org/spreadsheetml/2006/main">
  <authors>
    <author>Gene L Goetting</author>
  </authors>
  <commentList>
    <comment ref="L1" authorId="0">
      <text>
        <r>
          <rPr>
            <b/>
            <sz val="8"/>
            <rFont val="Tahoma"/>
            <family val="0"/>
          </rPr>
          <t>lab measurement at mid fwd adjustmeng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Gene L Goetting</author>
  </authors>
  <commentList>
    <comment ref="C83" authorId="0">
      <text>
        <r>
          <rPr>
            <b/>
            <sz val="8"/>
            <rFont val="Tahoma"/>
            <family val="0"/>
          </rPr>
          <t>Gene L Goetting:</t>
        </r>
        <r>
          <rPr>
            <sz val="8"/>
            <rFont val="Tahoma"/>
            <family val="0"/>
          </rPr>
          <t xml:space="preserve">
CG of Backhoes from RACL</t>
        </r>
      </text>
    </comment>
    <comment ref="C147" authorId="0">
      <text>
        <r>
          <rPr>
            <b/>
            <sz val="8"/>
            <rFont val="Tahoma"/>
            <family val="0"/>
          </rPr>
          <t>RACL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Gene L Goetting</author>
  </authors>
  <commentList>
    <comment ref="C70" authorId="0">
      <text>
        <r>
          <rPr>
            <b/>
            <sz val="8"/>
            <rFont val="Tahoma"/>
            <family val="0"/>
          </rPr>
          <t>with hardware and pin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WEIGHT REFERENCE FOR PN IN COLUMN A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with hardware and pin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Property of</author>
    <author>Gene L Goetting</author>
  </authors>
  <commentList>
    <comment ref="S17" authorId="0">
      <text>
        <r>
          <rPr>
            <b/>
            <sz val="8"/>
            <rFont val="Tahoma"/>
            <family val="2"/>
          </rPr>
          <t>Property of:</t>
        </r>
        <r>
          <rPr>
            <sz val="8"/>
            <rFont val="Tahoma"/>
            <family val="2"/>
          </rPr>
          <t xml:space="preserve">
Eliminated R1 for Region II per P. Haitz and D. Ross for revision .13.</t>
        </r>
      </text>
    </comment>
    <comment ref="U19" authorId="1">
      <text>
        <r>
          <rPr>
            <b/>
            <sz val="8"/>
            <rFont val="Tahoma"/>
            <family val="0"/>
          </rPr>
          <t>Gene L Goetting:</t>
        </r>
        <r>
          <rPr>
            <sz val="8"/>
            <rFont val="Tahoma"/>
            <family val="0"/>
          </rPr>
          <t xml:space="preserve">
actual weight from line
</t>
        </r>
      </text>
    </comment>
    <comment ref="U21" authorId="1">
      <text>
        <r>
          <rPr>
            <b/>
            <sz val="8"/>
            <rFont val="Tahoma"/>
            <family val="0"/>
          </rPr>
          <t>Gene L Goetting:</t>
        </r>
        <r>
          <rPr>
            <sz val="8"/>
            <rFont val="Tahoma"/>
            <family val="0"/>
          </rPr>
          <t xml:space="preserve">
actual weight from line</t>
        </r>
      </text>
    </comment>
    <comment ref="U25" authorId="1">
      <text>
        <r>
          <rPr>
            <b/>
            <sz val="8"/>
            <rFont val="Tahoma"/>
            <family val="0"/>
          </rPr>
          <t>Gene L Goetting:</t>
        </r>
        <r>
          <rPr>
            <sz val="8"/>
            <rFont val="Tahoma"/>
            <family val="0"/>
          </rPr>
          <t xml:space="preserve">
actual weight from line</t>
        </r>
      </text>
    </comment>
    <comment ref="AB34" authorId="0">
      <text>
        <r>
          <rPr>
            <b/>
            <sz val="8"/>
            <rFont val="Tahoma"/>
            <family val="2"/>
          </rPr>
          <t>Property of:</t>
        </r>
        <r>
          <rPr>
            <sz val="8"/>
            <rFont val="Tahoma"/>
            <family val="2"/>
          </rPr>
          <t xml:space="preserve">
3x20 11.2-24 R1 uses qty 4 03H1605 Bolt &amp; 14H1039 Nut </t>
        </r>
      </text>
    </comment>
    <comment ref="AB51" authorId="0">
      <text>
        <r>
          <rPr>
            <b/>
            <sz val="8"/>
            <rFont val="Tahoma"/>
            <family val="2"/>
          </rPr>
          <t>Property of:</t>
        </r>
        <r>
          <rPr>
            <sz val="8"/>
            <rFont val="Tahoma"/>
            <family val="2"/>
          </rPr>
          <t xml:space="preserve">
3x20 11.2-24 R1 uses qty 4 03H1605 Bolt &amp; 14H1039 Nut </t>
        </r>
      </text>
    </comment>
  </commentList>
</comments>
</file>

<file path=xl/comments2.xml><?xml version="1.0" encoding="utf-8"?>
<comments xmlns="http://schemas.openxmlformats.org/spreadsheetml/2006/main">
  <authors>
    <author>Gene L Goetting</author>
  </authors>
  <commentList>
    <comment ref="J13" authorId="0">
      <text>
        <r>
          <rPr>
            <b/>
            <sz val="8"/>
            <rFont val="Tahoma"/>
            <family val="0"/>
          </rPr>
          <t>Gene L Goetting:</t>
        </r>
        <r>
          <rPr>
            <sz val="8"/>
            <rFont val="Tahoma"/>
            <family val="0"/>
          </rPr>
          <t xml:space="preserve">
offset of iMatch from 3pt eye to iMatch hook center
</t>
        </r>
      </text>
    </comment>
  </commentList>
</comments>
</file>

<file path=xl/comments3.xml><?xml version="1.0" encoding="utf-8"?>
<comments xmlns="http://schemas.openxmlformats.org/spreadsheetml/2006/main">
  <authors>
    <author>Gene L Goetting</author>
  </authors>
  <commentList>
    <comment ref="J13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10"/>
            <rFont val="Tahoma"/>
            <family val="2"/>
          </rPr>
          <t>CG of LVB25363 from Pro 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Gene L Goetting</author>
  </authors>
  <commentList>
    <comment ref="J13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10"/>
            <rFont val="Tahoma"/>
            <family val="2"/>
          </rPr>
          <t>CG of LVB25363 from Pro 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Gene L Goetting</author>
  </authors>
  <commentList>
    <comment ref="J13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Gene L Goetting</author>
  </authors>
  <commentList>
    <comment ref="J14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Gene L Goetting</author>
  </authors>
  <commentList>
    <comment ref="J13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10"/>
            <rFont val="Tahoma"/>
            <family val="2"/>
          </rPr>
          <t>CG of LVB25363 from Pro 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Gene L Goetting</author>
  </authors>
  <commentList>
    <comment ref="J13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10"/>
            <rFont val="Tahoma"/>
            <family val="2"/>
          </rPr>
          <t>CG of LVB25363 from Pro E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Gene L Goetting</author>
  </authors>
  <commentList>
    <comment ref="J14" authorId="0">
      <text>
        <r>
          <rPr>
            <b/>
            <sz val="10"/>
            <rFont val="Tahoma"/>
            <family val="2"/>
          </rPr>
          <t>offset of iMatch from 3pt eye to iMatch hook center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<sst xmlns="http://schemas.openxmlformats.org/spreadsheetml/2006/main" count="1585" uniqueCount="497">
  <si>
    <t>Tire/Wheel</t>
  </si>
  <si>
    <t>Rear</t>
  </si>
  <si>
    <t>Kit</t>
  </si>
  <si>
    <t>Wheel</t>
  </si>
  <si>
    <t>Tire</t>
  </si>
  <si>
    <t>Starter</t>
  </si>
  <si>
    <t>Additional</t>
  </si>
  <si>
    <t xml:space="preserve">Minimum </t>
  </si>
  <si>
    <t xml:space="preserve">Assembly </t>
  </si>
  <si>
    <t>Volume</t>
  </si>
  <si>
    <t>Pressure</t>
  </si>
  <si>
    <t>Part</t>
  </si>
  <si>
    <t>Weight</t>
  </si>
  <si>
    <t>Hardware</t>
  </si>
  <si>
    <t>Size</t>
  </si>
  <si>
    <t>Mass (lb)</t>
  </si>
  <si>
    <t>Number</t>
  </si>
  <si>
    <t>Kg</t>
  </si>
  <si>
    <t>Chain</t>
  </si>
  <si>
    <t>psi</t>
  </si>
  <si>
    <t>k Factor</t>
  </si>
  <si>
    <t>Note: 2305 tires rated at 15km/h</t>
  </si>
  <si>
    <t>26x12.00-12 4PR R4 Trac Chief CL</t>
  </si>
  <si>
    <t>x</t>
  </si>
  <si>
    <t>LVU16197</t>
  </si>
  <si>
    <t>BM17972</t>
  </si>
  <si>
    <t>BM18089</t>
  </si>
  <si>
    <t>BM17973</t>
  </si>
  <si>
    <t>BM17977/18101</t>
  </si>
  <si>
    <t>TY15958</t>
  </si>
  <si>
    <t xml:space="preserve">   FWD</t>
  </si>
  <si>
    <t>18x8.5-10 4PR R4 Trac Chief CL</t>
  </si>
  <si>
    <t>LVU16196</t>
  </si>
  <si>
    <t>26x12.00-12 4PR R3 CL Multi Trac</t>
  </si>
  <si>
    <t>LVU14614</t>
  </si>
  <si>
    <t>18x8.5-10 4PR R3 CL Multi Track</t>
  </si>
  <si>
    <t>M139015</t>
  </si>
  <si>
    <t>31x13.5-15 4PR R3 CL Multi Trac</t>
  </si>
  <si>
    <t>LVU16999</t>
  </si>
  <si>
    <t>BM17965</t>
  </si>
  <si>
    <t>BM17987</t>
  </si>
  <si>
    <t xml:space="preserve">    FWD</t>
  </si>
  <si>
    <t>23x8.50-12 4PR R3 CL Multi Trac</t>
  </si>
  <si>
    <t>LVU17021</t>
  </si>
  <si>
    <t>12-16.5 6PR R4 CL Trac Chief</t>
  </si>
  <si>
    <t>LVU17019</t>
  </si>
  <si>
    <t>TY4451</t>
  </si>
  <si>
    <t>23x8.50-12 6PR R4 CL Trac Chief</t>
  </si>
  <si>
    <t>LVU17020</t>
  </si>
  <si>
    <t>LVU17022</t>
  </si>
  <si>
    <t>TY4453</t>
  </si>
  <si>
    <t>36x14.00-15 4PR R3 CL  Multi Trac</t>
  </si>
  <si>
    <t>LVU17000</t>
  </si>
  <si>
    <t>24x8.50-14 4PR R3 CL  Multi Trac</t>
  </si>
  <si>
    <t>LVU17023</t>
  </si>
  <si>
    <t>15.00-19.5 6PR R4 GA</t>
  </si>
  <si>
    <t>LVU16579</t>
  </si>
  <si>
    <t>BM17968</t>
  </si>
  <si>
    <t>LVB25004</t>
  </si>
  <si>
    <t>BM19937</t>
  </si>
  <si>
    <t>FWD</t>
  </si>
  <si>
    <t>25x8.50-14 6PR R4 GA</t>
  </si>
  <si>
    <t>LVU16575</t>
  </si>
  <si>
    <t>TY15651</t>
  </si>
  <si>
    <t>43x16.00-20 4PR R4 GA</t>
  </si>
  <si>
    <t>LVU16580</t>
  </si>
  <si>
    <t>Can't Use</t>
  </si>
  <si>
    <t>27x8.5-15 6PR R4 GA</t>
  </si>
  <si>
    <t>LVU16574</t>
  </si>
  <si>
    <t>TY15649</t>
  </si>
  <si>
    <t xml:space="preserve"> </t>
  </si>
  <si>
    <t>41x14.00-20 4PR R3 GA</t>
  </si>
  <si>
    <t>LVU16581</t>
  </si>
  <si>
    <t>TY4457</t>
  </si>
  <si>
    <t>27x8.50-15 6PR R3 GA</t>
  </si>
  <si>
    <t>LVU16577</t>
  </si>
  <si>
    <t>11.2-24 6PR R1 GA</t>
  </si>
  <si>
    <t>LVU16582</t>
  </si>
  <si>
    <t>T19293</t>
  </si>
  <si>
    <t>BM19939</t>
  </si>
  <si>
    <t>BM19940</t>
  </si>
  <si>
    <t>7.00-14 6PR R1 GA</t>
  </si>
  <si>
    <t>LVU16576</t>
  </si>
  <si>
    <t>TY15653</t>
  </si>
  <si>
    <t>41LLx18-16.1 6PR GOLF GA</t>
  </si>
  <si>
    <t>LVU10301</t>
  </si>
  <si>
    <t>None</t>
  </si>
  <si>
    <t>NA</t>
  </si>
  <si>
    <t>25/10.50LLX15 6PR GOLF GA</t>
  </si>
  <si>
    <t>LVU10302</t>
  </si>
  <si>
    <t xml:space="preserve">22.5LL-16.1 6PR GOLF GA </t>
  </si>
  <si>
    <t>R132970</t>
  </si>
  <si>
    <t>27x12LL-15 6PR GOLF GA</t>
  </si>
  <si>
    <t>LVU10303</t>
  </si>
  <si>
    <t>44x18.00-20 4PR R3 TI</t>
  </si>
  <si>
    <t>M131613</t>
  </si>
  <si>
    <t>TY15988</t>
  </si>
  <si>
    <t xml:space="preserve">27x10.50-15 4PR R3 TI </t>
  </si>
  <si>
    <t>LVU11622</t>
  </si>
  <si>
    <t>17.5L-24 8PR R4 TI</t>
  </si>
  <si>
    <t>M131761</t>
  </si>
  <si>
    <t>TY16202</t>
  </si>
  <si>
    <t>10.00-16.5 6PR R4 TI</t>
  </si>
  <si>
    <t>M131830</t>
  </si>
  <si>
    <t>TY15201</t>
  </si>
  <si>
    <t>13.6-28 4PR R1 TI</t>
  </si>
  <si>
    <t>M131768</t>
  </si>
  <si>
    <t>TY4462</t>
  </si>
  <si>
    <t>8.00-16 6PR R1 TI</t>
  </si>
  <si>
    <t>M131202</t>
  </si>
  <si>
    <t>Tractor Model</t>
  </si>
  <si>
    <t>Front Tire Size</t>
  </si>
  <si>
    <t>Rear Tire Size</t>
  </si>
  <si>
    <t>Fluid in Front Tires</t>
  </si>
  <si>
    <t>Fluid in Rear Tires</t>
  </si>
  <si>
    <t>Front Weight Bracket</t>
  </si>
  <si>
    <t>No Fluid in Tires</t>
  </si>
  <si>
    <t>75% Fill w/ water</t>
  </si>
  <si>
    <t>75% fill w/ 3.5 lb solution CaCl</t>
  </si>
  <si>
    <t>75% fill w/ 5 lb solution CaCl</t>
  </si>
  <si>
    <t>Machine</t>
  </si>
  <si>
    <t>Gross Weight (lb)</t>
  </si>
  <si>
    <t>Weight (front)</t>
  </si>
  <si>
    <t>Weight (rear)</t>
  </si>
  <si>
    <t>Wheelbase (in)</t>
  </si>
  <si>
    <t>CG forward of RACL (in) w/o wheels</t>
  </si>
  <si>
    <t>Front</t>
  </si>
  <si>
    <t>3pt RACL (horizontal)</t>
  </si>
  <si>
    <t>Bumper from RACL</t>
  </si>
  <si>
    <t>3005 (2WD)</t>
  </si>
  <si>
    <t>4005 (2WD)</t>
  </si>
  <si>
    <t>Tire Fluid Fill</t>
  </si>
  <si>
    <t>hp</t>
  </si>
  <si>
    <t>RACL</t>
  </si>
  <si>
    <t>Totals:</t>
  </si>
  <si>
    <t>Lb./Front</t>
  </si>
  <si>
    <t>Lb./Rear</t>
  </si>
  <si>
    <t>Total</t>
  </si>
  <si>
    <t>No Loader</t>
  </si>
  <si>
    <t>iMatch</t>
  </si>
  <si>
    <t>CUT Attachment Matrix</t>
  </si>
  <si>
    <t>being replaced by 3E</t>
  </si>
  <si>
    <t>3120 Compact Tractor (29.5 hp)</t>
  </si>
  <si>
    <t>3203 Compact Tractor (32 hp)</t>
  </si>
  <si>
    <t>BACKHOES</t>
  </si>
  <si>
    <t>7 Backhoe</t>
  </si>
  <si>
    <t>X</t>
  </si>
  <si>
    <t>8B Backhoe</t>
  </si>
  <si>
    <t>46 Backhoe</t>
  </si>
  <si>
    <t>48 Backhoe</t>
  </si>
  <si>
    <t>49 Backhoe</t>
  </si>
  <si>
    <t>260 Backhoe</t>
  </si>
  <si>
    <t>447 Backhoe</t>
  </si>
  <si>
    <t>448 Backhoe</t>
  </si>
  <si>
    <t>BLADE</t>
  </si>
  <si>
    <t>54-inch Front Blade</t>
  </si>
  <si>
    <t>74 Front Blade</t>
  </si>
  <si>
    <t>366 Front Blade</t>
  </si>
  <si>
    <t>380A Front Blade</t>
  </si>
  <si>
    <t>FLAIL MOWER</t>
  </si>
  <si>
    <t>25A Flail Mower (78-inch cut)</t>
  </si>
  <si>
    <t>360 Flail Mower (58-inch cut)</t>
  </si>
  <si>
    <t>370 Flail Mower (71-inch cut)</t>
  </si>
  <si>
    <t>390 Flail Mower (26-inch offset)</t>
  </si>
  <si>
    <t>390 Flail Mower (12-inch offset)</t>
  </si>
  <si>
    <t>390 Flail Mower (90-inch cut)</t>
  </si>
  <si>
    <t>200CX Loader</t>
  </si>
  <si>
    <t>200X Loader</t>
  </si>
  <si>
    <t>300 Loader</t>
  </si>
  <si>
    <t>300CX Loader</t>
  </si>
  <si>
    <t>300X Loader</t>
  </si>
  <si>
    <t>400CX Loader</t>
  </si>
  <si>
    <t>400X Loader</t>
  </si>
  <si>
    <t>MATERIAL COLLECTOR</t>
  </si>
  <si>
    <t>3-Bag Power Flow Material Collection System</t>
  </si>
  <si>
    <t>ROTARY BROOM</t>
  </si>
  <si>
    <t>52-inch Quick-Hitch Rotary Broom</t>
  </si>
  <si>
    <t>60-inch Heavy-Duty Rotary Broom</t>
  </si>
  <si>
    <t>ROTARY CUTTERS</t>
  </si>
  <si>
    <t>609 Rotary Cutter (Integral)</t>
  </si>
  <si>
    <t>609 Rotary Cutter (Pull-Type)</t>
  </si>
  <si>
    <t>709 Rotary Cutter (Integral, 1000 RPM)</t>
  </si>
  <si>
    <t>709 Rotary Cutter (Integral, 540 RPM)</t>
  </si>
  <si>
    <t>709 Rotary Cutter (Pull-Type, 540 RPM)</t>
  </si>
  <si>
    <t>HX10 Rotary Cutter (Pull-Type, 1000 RPM)</t>
  </si>
  <si>
    <t>HX10 Rotary Cutter (Pull-Type, 540 RPM)</t>
  </si>
  <si>
    <t>HX10 Rotary Cutter (Semi-Mount, 540 RPM)</t>
  </si>
  <si>
    <t>HX10 Rotary Cutter (Semi-Mount, hydraulic offset)</t>
  </si>
  <si>
    <t>LX4 Rotary Cutter</t>
  </si>
  <si>
    <t>LX5 Rotary Cutter</t>
  </si>
  <si>
    <t>LX6 Rotary Cutter</t>
  </si>
  <si>
    <t>MX10 Rotary Cutter (Pull-Type, 540 RPM)</t>
  </si>
  <si>
    <t>MX10 Rotary Cutter (Semi-Mount, 540 RPM)</t>
  </si>
  <si>
    <t>MX10 Rotary Cutter (Semi-Mount, hydraulic offset)</t>
  </si>
  <si>
    <t>MX5 Rotary Cutter (60-inch cut</t>
  </si>
  <si>
    <t>MX6 Rotary Cutter (72-inch cut)</t>
  </si>
  <si>
    <t>MX7 Rotary Cutter (84-inch cut)</t>
  </si>
  <si>
    <t>MX8 Rotary Cutter (Lift-Type, 540 RPM)</t>
  </si>
  <si>
    <t>MX8 Rotary Cutter (Pull-Type, 540 RPM)</t>
  </si>
  <si>
    <t>MX8 Rotary Cutter (Semi-Mount, 540 RPM)</t>
  </si>
  <si>
    <t>MX8 Rotary Cutter (Semi-Mount, hydraulic offset)</t>
  </si>
  <si>
    <t>54D OnRamp™ Mid-Mount Mower</t>
  </si>
  <si>
    <t>60-inch 7-Iron Mid-Mount Mower</t>
  </si>
  <si>
    <t>60-inch Mid-Mount Mower</t>
  </si>
  <si>
    <t>62C Mid-Mount Side Discharge Mower</t>
  </si>
  <si>
    <t>62D OnRamp™ Mid-Mount Mower</t>
  </si>
  <si>
    <t>72-inch 7-Iron Mid-Mount Mower</t>
  </si>
  <si>
    <t>72-inch Mid-Mount Mower</t>
  </si>
  <si>
    <t>261 Rear-Mount Rotary Mower (60-inch cut)</t>
  </si>
  <si>
    <t>272 Rear-Mount Rotary Mower (72-inch cut)</t>
  </si>
  <si>
    <t>SNOW BLOWER</t>
  </si>
  <si>
    <t>47-Inch Snow Blower</t>
  </si>
  <si>
    <t>59-Inch Snow Blower</t>
  </si>
  <si>
    <t>TILLER</t>
  </si>
  <si>
    <t>647 Tiller (48-inch, commercial-duty)</t>
  </si>
  <si>
    <t>655 Tiller (55-inch, commercial-duty)</t>
  </si>
  <si>
    <t>665 Tiller (65-inch, commercial-duty)</t>
  </si>
  <si>
    <t>673 Tiller (73-inch, commercial-duty)</t>
  </si>
  <si>
    <t>681 Tiller (81-inch, commercial-duty)</t>
  </si>
  <si>
    <t>Actual</t>
  </si>
  <si>
    <t>(lb)</t>
  </si>
  <si>
    <t>305 Loader</t>
  </si>
  <si>
    <t>Long. CG fwd of 3pt eye</t>
  </si>
  <si>
    <t>LOADER (w/bucket)</t>
  </si>
  <si>
    <t>with iMatch</t>
  </si>
  <si>
    <t>w/o iMatch</t>
  </si>
  <si>
    <t>RACL FWD</t>
  </si>
  <si>
    <t>weigth</t>
  </si>
  <si>
    <t>3pt offset</t>
  </si>
  <si>
    <t xml:space="preserve"> (LVA15247 production-LVB25255 field)</t>
  </si>
  <si>
    <t>3PT RACL</t>
  </si>
  <si>
    <t>TRACTOR RACL</t>
  </si>
  <si>
    <t>TRACTOR WHEELBASE</t>
  </si>
  <si>
    <t>BASE WEIGHTS</t>
  </si>
  <si>
    <t>No Attachment</t>
  </si>
  <si>
    <t>Optional Front Weight Bracket</t>
  </si>
  <si>
    <t>RACL FWD of bumper</t>
  </si>
  <si>
    <t>weight (lbs)</t>
  </si>
  <si>
    <t>LVB25363</t>
  </si>
  <si>
    <t>No Bracket</t>
  </si>
  <si>
    <t>extend RACL of weight:</t>
  </si>
  <si>
    <t>WEIGHTBRACKET2000</t>
  </si>
  <si>
    <t>No Rear Wheel Weight</t>
  </si>
  <si>
    <t>1-50lb weight</t>
  </si>
  <si>
    <t>2-50lb weights</t>
  </si>
  <si>
    <t>1-72lb weight</t>
  </si>
  <si>
    <t>WEIGHTREAR2305</t>
  </si>
  <si>
    <t>2305 MAX 3 WEIGHTS W/O BRACKET</t>
  </si>
  <si>
    <t>2305 BALLAST CALCULATOR</t>
  </si>
  <si>
    <t>Rear Tire Weights (per side)</t>
  </si>
  <si>
    <t xml:space="preserve">Ballast Calculator      </t>
  </si>
  <si>
    <t xml:space="preserve">  </t>
  </si>
  <si>
    <t>Ballast Calculator Instructions:</t>
  </si>
  <si>
    <t>Select Tractor Model on this page</t>
  </si>
  <si>
    <t xml:space="preserve"> -you will be redirected to the proper page to configure your tractor</t>
  </si>
  <si>
    <t xml:space="preserve"> -if redirected to wrong page, scroll to bottom of page and click on "back" button</t>
  </si>
  <si>
    <t>Compact Utility Tractor Ballast Calculators</t>
  </si>
  <si>
    <t>3032E</t>
  </si>
  <si>
    <t>3038E</t>
  </si>
  <si>
    <t>Attachment Compatibility</t>
  </si>
  <si>
    <t>Ballasting Tools</t>
  </si>
  <si>
    <t>CG from 3pt eye</t>
  </si>
  <si>
    <t>54C Mid-Mount Mower</t>
  </si>
  <si>
    <t>Solid Mount</t>
  </si>
  <si>
    <t>Quick Park</t>
  </si>
  <si>
    <t>Quick Park, Self Leveling</t>
  </si>
  <si>
    <t>Comments (for calculator)</t>
  </si>
  <si>
    <t>Comments (for editor)</t>
  </si>
  <si>
    <t>CG from ProE</t>
  </si>
  <si>
    <t>CG from Lab measurements</t>
  </si>
  <si>
    <t>Est from 300X (CX)</t>
  </si>
  <si>
    <t>Mid Mount Attachments</t>
  </si>
  <si>
    <t>Front Mount Attachments</t>
  </si>
  <si>
    <t>Rear Mount Attachments</t>
  </si>
  <si>
    <t xml:space="preserve">Back </t>
  </si>
  <si>
    <t>80% fill w/ 3.5 lb solution CaCl</t>
  </si>
  <si>
    <t>When your tractor has correct configuration a base tractor weight will be generated.</t>
  </si>
  <si>
    <t>Use white drop down menus to properly configure your tractor</t>
  </si>
  <si>
    <t>Rear Attachment</t>
  </si>
  <si>
    <t>Mid Mount Attachment</t>
  </si>
  <si>
    <t>Front Attachment</t>
  </si>
  <si>
    <t>FRONT AND REAR WEIGHT OPTIONS</t>
  </si>
  <si>
    <t>NOTES</t>
  </si>
  <si>
    <t xml:space="preserve">change "defined name" for attachments to include attachments which we have info on </t>
  </si>
  <si>
    <t>2X20 BALLAST CALCULATOR</t>
  </si>
  <si>
    <t>14-17.5 6PR R4 CL Trac Chief</t>
  </si>
  <si>
    <t>(Supplier Spec)</t>
  </si>
  <si>
    <t>N/A</t>
  </si>
  <si>
    <t>WEIGHTREAR2X20</t>
  </si>
  <si>
    <t>BM17969</t>
  </si>
  <si>
    <t>2305 MAX 7 WEIGHTS W/BRACKET</t>
  </si>
  <si>
    <t>1-60lb weight</t>
  </si>
  <si>
    <t>2-60lb weights</t>
  </si>
  <si>
    <t>1-45lb weight</t>
  </si>
  <si>
    <t>RACL FROM FRONT BUMPER</t>
  </si>
  <si>
    <t>ACTUAL RACL</t>
  </si>
  <si>
    <t>Qty. of Front Weights</t>
  </si>
  <si>
    <t>2X20</t>
  </si>
  <si>
    <t>lb</t>
  </si>
  <si>
    <t>qty from PC</t>
  </si>
  <si>
    <t>use with 16" wheel</t>
  </si>
  <si>
    <t>use with 24" wheel</t>
  </si>
  <si>
    <t>(starter)</t>
  </si>
  <si>
    <t>Shipping Weights</t>
  </si>
  <si>
    <t>3005 BALLAST CALCULATOR</t>
  </si>
  <si>
    <t>2x20 rear wheel weights to be confirmed</t>
  </si>
  <si>
    <t>order code</t>
  </si>
  <si>
    <t>25X8.50-14 4PR Front R3 Turf-2 Pos. Bias</t>
  </si>
  <si>
    <t xml:space="preserve">13.6-16 4PR Rear R3 Turf-2 Pos. Bias </t>
  </si>
  <si>
    <t>4510 and 4010</t>
  </si>
  <si>
    <t>5-15 6PR Front F2 Rib-2 Pos. Bias</t>
  </si>
  <si>
    <t>4505 and 4005</t>
  </si>
  <si>
    <t>4005 BALLAST CALCULATOR</t>
  </si>
  <si>
    <t>FRONTIER RC2048</t>
  </si>
  <si>
    <t>WEIGHTREAR3005</t>
  </si>
  <si>
    <t>3-60lb weights</t>
  </si>
  <si>
    <t>1-45lb and 1-55lb weight</t>
  </si>
  <si>
    <t>1-45lb and 2-55lb weights</t>
  </si>
  <si>
    <t>LVA802912</t>
  </si>
  <si>
    <t>LVA802972</t>
  </si>
  <si>
    <t>WEIGHTBRACKET3005</t>
  </si>
  <si>
    <t>WEIGHTBRACKET4005</t>
  </si>
  <si>
    <t>WEIGHTREAR4005</t>
  </si>
  <si>
    <t>1-55lb weight</t>
  </si>
  <si>
    <t>2-55lb weights</t>
  </si>
  <si>
    <t>3-55lb weights</t>
  </si>
  <si>
    <t>1-110lb weight</t>
  </si>
  <si>
    <t>2-110lb weights</t>
  </si>
  <si>
    <t>3-110lb weights</t>
  </si>
  <si>
    <t>(max 4weights (R66949))</t>
  </si>
  <si>
    <t>3005 (MFWD)</t>
  </si>
  <si>
    <t>4005 (MFWD)</t>
  </si>
  <si>
    <t>14.9-24 4PR Rear R1 Ag-8 Pos. Bias</t>
  </si>
  <si>
    <t>4020 and 4535</t>
  </si>
  <si>
    <t>4015 and 4530</t>
  </si>
  <si>
    <t>6.50-16 4PR Front F2 Rib-2 Pos. Bias</t>
  </si>
  <si>
    <t>3E BALLAST CALCULATOR</t>
  </si>
  <si>
    <t>LVB24952</t>
  </si>
  <si>
    <t>WEIGHTBRACKET3E</t>
  </si>
  <si>
    <t>and 3E</t>
  </si>
  <si>
    <t xml:space="preserve">Weights </t>
  </si>
  <si>
    <t>BM19780</t>
  </si>
  <si>
    <t>R66949</t>
  </si>
  <si>
    <t>Front Weight Used</t>
  </si>
  <si>
    <t>R66949 (42lb)</t>
  </si>
  <si>
    <t>BM19780 (70lb)</t>
  </si>
  <si>
    <t>wt</t>
  </si>
  <si>
    <t>cg</t>
  </si>
  <si>
    <t>**all spec with base equipment and w/o tires</t>
  </si>
  <si>
    <t>3X20 BALLAST CALCULATOR</t>
  </si>
  <si>
    <t>and 3X20</t>
  </si>
  <si>
    <t>LVBM19581</t>
  </si>
  <si>
    <t>WEIGHTBRACKET3X20</t>
  </si>
  <si>
    <t>same base bracket as 3E AM125947</t>
  </si>
  <si>
    <t>4X20 Cab</t>
  </si>
  <si>
    <t>3X20 Cab</t>
  </si>
  <si>
    <t>Operator Station</t>
  </si>
  <si>
    <t>Operator's Station</t>
  </si>
  <si>
    <t>Open Station</t>
  </si>
  <si>
    <t>from test3 to test4 I added "operator station" row</t>
  </si>
  <si>
    <t>from test4 to test5 I seperated wheel fluid</t>
  </si>
  <si>
    <t>Ballasted Tractor Weight</t>
  </si>
  <si>
    <t>Total Weight</t>
  </si>
  <si>
    <t>4X20 BALLAST CALCULATOR</t>
  </si>
  <si>
    <t>Rear Attachment / Ballast Box</t>
  </si>
  <si>
    <t>Ballast Box (375 lb)</t>
  </si>
  <si>
    <t>Ballast Box (220 lb)</t>
  </si>
  <si>
    <t>Ballast Box (440 lb)</t>
  </si>
  <si>
    <t>Ballast Box (530 lb)</t>
  </si>
  <si>
    <t>Ballast Box (551 lb)</t>
  </si>
  <si>
    <t>Ballast Box (605 lb)</t>
  </si>
  <si>
    <t>Ballast Box (617 lb)</t>
  </si>
  <si>
    <t>Ballast Box (650 lb)</t>
  </si>
  <si>
    <t>Ballast Box (772lb)</t>
  </si>
  <si>
    <t>Ballast Box (816 lb)</t>
  </si>
  <si>
    <t>Ballast Box (880 lb)</t>
  </si>
  <si>
    <t>Ballast Box (1210 lb)</t>
  </si>
  <si>
    <t>spec weight - CG estimated from LX5</t>
  </si>
  <si>
    <t>spec weight - CG from Pro E</t>
  </si>
  <si>
    <t>spec weight - from lab measurement</t>
  </si>
  <si>
    <t>Attachment loaded into Calculator</t>
  </si>
  <si>
    <t>Need CG of Attachments below</t>
  </si>
  <si>
    <t>Loaders w/empty bucket</t>
  </si>
  <si>
    <t>attachment updates</t>
  </si>
  <si>
    <t>Unhide following rows:</t>
  </si>
  <si>
    <t>1-4</t>
  </si>
  <si>
    <t>iMatch informaiton</t>
  </si>
  <si>
    <t>38-117</t>
  </si>
  <si>
    <t xml:space="preserve">attachments information needed </t>
  </si>
  <si>
    <t>Unhide following columns:</t>
  </si>
  <si>
    <t>A-E</t>
  </si>
  <si>
    <t>attachment specs for calculator</t>
  </si>
  <si>
    <t>If adding attachment spec:</t>
  </si>
  <si>
    <t>copy row to row between 26 and 37 in same group of attachments</t>
  </si>
  <si>
    <t>add information to attachment in group (snowblowers, rotary cutters, etc.)</t>
  </si>
  <si>
    <t>after copying, fill cell of attachment with light green</t>
  </si>
  <si>
    <t>this will prevent the duplication of information in calculator and keep information in group</t>
  </si>
  <si>
    <t>est from MX5</t>
  </si>
  <si>
    <t>LVA14077</t>
  </si>
  <si>
    <t>LVA14070</t>
  </si>
  <si>
    <t>LVA14069</t>
  </si>
  <si>
    <t>LVA10546</t>
  </si>
  <si>
    <t>LVA10542</t>
  </si>
  <si>
    <t xml:space="preserve">4720 Compact Tractor </t>
  </si>
  <si>
    <t>2305 4WD Compact Tractor</t>
  </si>
  <si>
    <t xml:space="preserve">2320 Compact Utility Tractor </t>
  </si>
  <si>
    <t>2520 4WD Compact Tractor</t>
  </si>
  <si>
    <t>2720 4WD Compact Tractor</t>
  </si>
  <si>
    <t xml:space="preserve">3005 Compact Tractor </t>
  </si>
  <si>
    <t>3032E Compact Tractor</t>
  </si>
  <si>
    <t xml:space="preserve">3038E Compact Tractor </t>
  </si>
  <si>
    <t>3320 Compact Tractor</t>
  </si>
  <si>
    <t>3520 Compact Tractor</t>
  </si>
  <si>
    <t>3720 Compact Tractor</t>
  </si>
  <si>
    <t>4005 Compact Tractor</t>
  </si>
  <si>
    <t>4120 Compact Tractor</t>
  </si>
  <si>
    <t>4320 Compact Tractor</t>
  </si>
  <si>
    <t>4520 Compact Tractor</t>
  </si>
  <si>
    <t>to update</t>
  </si>
  <si>
    <t>incorperate ballast codes</t>
  </si>
  <si>
    <t>rearrange format to have attachments in middle - ballast at bottom</t>
  </si>
  <si>
    <t>Tractor Weight with Attachment</t>
  </si>
  <si>
    <t>from test 6 to 7 updated Loader OM links - remove Loader from calculations (hidden rows above attachment calculaitons) - rearranged layout (attachments in middle)</t>
  </si>
  <si>
    <t>CG of ballast code may vary (24 used as standard)</t>
  </si>
  <si>
    <t xml:space="preserve">  -attachment drop down menu includes: </t>
  </si>
  <si>
    <t>Loader</t>
  </si>
  <si>
    <t>spec weight - CG est. from GM3072</t>
  </si>
  <si>
    <t>spec weight - CG est. from RC2048</t>
  </si>
  <si>
    <t>spec weight - CG est. from PR1160</t>
  </si>
  <si>
    <t>spec weight - CG est. from BB2072</t>
  </si>
  <si>
    <t>FRONTIER RC2048 (rotary cutter)</t>
  </si>
  <si>
    <t>FRONTIER RC2060  (rotary cutter)</t>
  </si>
  <si>
    <t>FRONTIER RC2072  (rotary cutter)</t>
  </si>
  <si>
    <t>FRONTIER TR2058 (overseeder)</t>
  </si>
  <si>
    <t>FRONTIER GM3054  (grooming mower)</t>
  </si>
  <si>
    <t>FRONTIER GM3060  (grooming mower)</t>
  </si>
  <si>
    <t>FRONTIER GM3072  (grooming mower)</t>
  </si>
  <si>
    <t>FRONTIER PR1148  (power rake)</t>
  </si>
  <si>
    <t>FRONTIER PR1160  (power rake)</t>
  </si>
  <si>
    <t>FRONTIER BB2048 (box blade)</t>
  </si>
  <si>
    <t>FRONTIER BB2060 (box blade)</t>
  </si>
  <si>
    <t>FRONTIER BB2065 (box blade)</t>
  </si>
  <si>
    <t>FRONTIER BB2072 (box blade)</t>
  </si>
  <si>
    <t>Test8BC_1 includes information in regard to Ballast Codes</t>
  </si>
  <si>
    <t>3-60lb weight</t>
  </si>
  <si>
    <t>1-72lb w/1-50lb weight</t>
  </si>
  <si>
    <t>1-72lb w/2-50lb weight</t>
  </si>
  <si>
    <t>Test9 incorperates engineering / marketing suggestions: OM link, axle loads</t>
  </si>
  <si>
    <t xml:space="preserve">Operator's Manual </t>
  </si>
  <si>
    <t>Operator's Manual</t>
  </si>
  <si>
    <t xml:space="preserve">     *ballast box</t>
  </si>
  <si>
    <t>Fluid Not Recommended for Front Tires</t>
  </si>
  <si>
    <t>Test10 includes tire weight limits into front axle max load calculations</t>
  </si>
  <si>
    <t>National Center for Health Statistics avg weight for U.S. Male is 190 lbs</t>
  </si>
  <si>
    <t>Operator</t>
  </si>
  <si>
    <t>SIP</t>
  </si>
  <si>
    <t>Base Tractor Weight (w/operator)</t>
  </si>
  <si>
    <t>190lb</t>
  </si>
  <si>
    <t>Implement Code: 20</t>
  </si>
  <si>
    <t>Implement Code: 25</t>
  </si>
  <si>
    <t>Implement Code: 30</t>
  </si>
  <si>
    <t>Implement Code: 35</t>
  </si>
  <si>
    <t>Implement Code: 40</t>
  </si>
  <si>
    <t>Implement Code: 45</t>
  </si>
  <si>
    <t>Implement Code: 50</t>
  </si>
  <si>
    <t>Implement Code: 55</t>
  </si>
  <si>
    <t>Implement Code: 60</t>
  </si>
  <si>
    <t>Implement Code: 65</t>
  </si>
  <si>
    <t>Implement Code: 70</t>
  </si>
  <si>
    <t>Implement Code: 75</t>
  </si>
  <si>
    <t>Implement Code: 80</t>
  </si>
  <si>
    <t>Implement Code: 85</t>
  </si>
  <si>
    <t xml:space="preserve">     *implement codes</t>
  </si>
  <si>
    <t>Note: This calculator will allow you to select unorderable configurations.  This calculator is for the sole use of estimating the weight of a configured tractor and its implements for optimizing performance.</t>
  </si>
  <si>
    <t xml:space="preserve">     *specific implement</t>
  </si>
  <si>
    <t>Select desired loader, implement, and ballast weight configuration from white drop down menus</t>
  </si>
  <si>
    <t>This calculator is to be used to estimate the correct amount of ballast for a specific tractor with certain types of implements.  The ballast recommended in this calculator is based solely off of machine fore and aft. Therefore, should be used only as a starting point when ballasting.  Some deviations may be needed for specific circumstances.  For complete information on Performance Ballasting refer to the tractor's Operators Manual.</t>
  </si>
  <si>
    <t>Final vehicle weight with all implements will appear at the bottom center of chart, with weight split on bottom right.</t>
  </si>
  <si>
    <t>45 gallon</t>
  </si>
  <si>
    <t>55 gallon</t>
  </si>
  <si>
    <t>110 gallon</t>
  </si>
  <si>
    <t>150 gallon</t>
  </si>
  <si>
    <t>4105 BALLAST CALCULATOR</t>
  </si>
  <si>
    <t>Implement Code: 15</t>
  </si>
  <si>
    <t>Implement Code: 10</t>
  </si>
  <si>
    <t>Implement Code: 90</t>
  </si>
  <si>
    <t>Small Chasis Backhoe Subframe</t>
  </si>
  <si>
    <t>Mid-Chassis Backhoe Plates</t>
  </si>
  <si>
    <t>Large Chassis Backhoe Plates</t>
  </si>
  <si>
    <t>Tire Load</t>
  </si>
  <si>
    <t>Capacity</t>
  </si>
  <si>
    <t>(lbs)</t>
  </si>
  <si>
    <t>N/A at Augusta</t>
  </si>
  <si>
    <t>Updated front &amp; rear axle limits and added new attachments</t>
  </si>
  <si>
    <t>Measured</t>
  </si>
  <si>
    <t>Estimated</t>
  </si>
  <si>
    <t>ROTARY MOWERS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</si>
</sst>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u val="single"/>
      <sz val="8.5"/>
      <color indexed="12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0"/>
      <color indexed="8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10"/>
      <name val="Verdana"/>
      <family val="2"/>
    </font>
    <font>
      <b/>
      <sz val="18"/>
      <color indexed="10"/>
      <name val="Arial"/>
      <family val="0"/>
    </font>
    <font>
      <sz val="12"/>
      <name val="Arial"/>
      <family val="0"/>
    </font>
    <font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38" borderId="18" xfId="0" applyFill="1" applyBorder="1" applyAlignment="1">
      <alignment/>
    </xf>
    <xf numFmtId="0" fontId="0" fillId="38" borderId="0" xfId="0" applyFill="1" applyAlignment="1">
      <alignment/>
    </xf>
    <xf numFmtId="0" fontId="2" fillId="34" borderId="18" xfId="0" applyFont="1" applyFill="1" applyBorder="1" applyAlignment="1">
      <alignment/>
    </xf>
    <xf numFmtId="2" fontId="0" fillId="34" borderId="18" xfId="0" applyNumberFormat="1" applyFill="1" applyBorder="1" applyAlignment="1">
      <alignment horizontal="center"/>
    </xf>
    <xf numFmtId="0" fontId="9" fillId="34" borderId="18" xfId="0" applyFont="1" applyFill="1" applyBorder="1" applyAlignment="1">
      <alignment horizontal="center" wrapText="1"/>
    </xf>
    <xf numFmtId="0" fontId="0" fillId="39" borderId="18" xfId="0" applyFill="1" applyBorder="1" applyAlignment="1">
      <alignment/>
    </xf>
    <xf numFmtId="2" fontId="0" fillId="39" borderId="18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0" fillId="39" borderId="18" xfId="0" applyFont="1" applyFill="1" applyBorder="1" applyAlignment="1">
      <alignment/>
    </xf>
    <xf numFmtId="0" fontId="0" fillId="40" borderId="18" xfId="0" applyFill="1" applyBorder="1" applyAlignment="1">
      <alignment/>
    </xf>
    <xf numFmtId="0" fontId="3" fillId="40" borderId="18" xfId="0" applyFont="1" applyFill="1" applyBorder="1" applyAlignment="1">
      <alignment horizontal="center"/>
    </xf>
    <xf numFmtId="0" fontId="10" fillId="40" borderId="18" xfId="0" applyFont="1" applyFill="1" applyBorder="1" applyAlignment="1">
      <alignment horizontal="center"/>
    </xf>
    <xf numFmtId="0" fontId="0" fillId="40" borderId="18" xfId="0" applyFont="1" applyFill="1" applyBorder="1" applyAlignment="1">
      <alignment/>
    </xf>
    <xf numFmtId="2" fontId="0" fillId="40" borderId="18" xfId="0" applyNumberFormat="1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41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164" fontId="0" fillId="37" borderId="21" xfId="0" applyNumberFormat="1" applyFill="1" applyBorder="1" applyAlignment="1">
      <alignment/>
    </xf>
    <xf numFmtId="9" fontId="0" fillId="37" borderId="21" xfId="0" applyNumberFormat="1" applyFill="1" applyBorder="1" applyAlignment="1">
      <alignment/>
    </xf>
    <xf numFmtId="0" fontId="0" fillId="37" borderId="22" xfId="0" applyFill="1" applyBorder="1" applyAlignment="1">
      <alignment/>
    </xf>
    <xf numFmtId="2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9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0" fontId="0" fillId="42" borderId="18" xfId="0" applyFill="1" applyBorder="1" applyAlignment="1">
      <alignment/>
    </xf>
    <xf numFmtId="2" fontId="0" fillId="42" borderId="18" xfId="0" applyNumberFormat="1" applyFill="1" applyBorder="1" applyAlignment="1">
      <alignment/>
    </xf>
    <xf numFmtId="164" fontId="0" fillId="42" borderId="18" xfId="0" applyNumberFormat="1" applyFill="1" applyBorder="1" applyAlignment="1">
      <alignment/>
    </xf>
    <xf numFmtId="9" fontId="0" fillId="42" borderId="18" xfId="0" applyNumberFormat="1" applyFill="1" applyBorder="1" applyAlignment="1">
      <alignment/>
    </xf>
    <xf numFmtId="0" fontId="15" fillId="38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 shrinkToFit="1"/>
    </xf>
    <xf numFmtId="164" fontId="0" fillId="0" borderId="27" xfId="0" applyNumberFormat="1" applyBorder="1" applyAlignment="1">
      <alignment shrinkToFit="1"/>
    </xf>
    <xf numFmtId="0" fontId="0" fillId="0" borderId="28" xfId="0" applyBorder="1" applyAlignment="1">
      <alignment/>
    </xf>
    <xf numFmtId="164" fontId="0" fillId="0" borderId="29" xfId="0" applyNumberFormat="1" applyBorder="1" applyAlignment="1">
      <alignment shrinkToFit="1"/>
    </xf>
    <xf numFmtId="0" fontId="2" fillId="40" borderId="18" xfId="0" applyFont="1" applyFill="1" applyBorder="1" applyAlignment="1">
      <alignment/>
    </xf>
    <xf numFmtId="0" fontId="9" fillId="40" borderId="18" xfId="0" applyFont="1" applyFill="1" applyBorder="1" applyAlignment="1">
      <alignment horizontal="center" wrapText="1"/>
    </xf>
    <xf numFmtId="0" fontId="0" fillId="37" borderId="30" xfId="0" applyFill="1" applyBorder="1" applyAlignment="1">
      <alignment/>
    </xf>
    <xf numFmtId="1" fontId="0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0" borderId="18" xfId="0" applyBorder="1" applyAlignment="1">
      <alignment horizontal="left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2" fontId="0" fillId="0" borderId="0" xfId="0" applyNumberFormat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0" fontId="5" fillId="33" borderId="18" xfId="0" applyFont="1" applyFill="1" applyBorder="1" applyAlignment="1">
      <alignment wrapText="1"/>
    </xf>
    <xf numFmtId="0" fontId="16" fillId="41" borderId="18" xfId="0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16" fillId="0" borderId="18" xfId="0" applyFont="1" applyBorder="1" applyAlignment="1">
      <alignment/>
    </xf>
    <xf numFmtId="0" fontId="16" fillId="41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5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5" fillId="41" borderId="0" xfId="0" applyFont="1" applyFill="1" applyAlignment="1">
      <alignment horizontal="center"/>
    </xf>
    <xf numFmtId="0" fontId="0" fillId="38" borderId="3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32" xfId="0" applyFill="1" applyBorder="1" applyAlignment="1">
      <alignment/>
    </xf>
    <xf numFmtId="1" fontId="0" fillId="38" borderId="25" xfId="0" applyNumberFormat="1" applyFill="1" applyBorder="1" applyAlignment="1">
      <alignment/>
    </xf>
    <xf numFmtId="1" fontId="0" fillId="38" borderId="23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3" xfId="0" applyFill="1" applyBorder="1" applyAlignment="1">
      <alignment/>
    </xf>
    <xf numFmtId="1" fontId="0" fillId="38" borderId="26" xfId="0" applyNumberFormat="1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3" xfId="0" applyFill="1" applyBorder="1" applyAlignment="1">
      <alignment/>
    </xf>
    <xf numFmtId="0" fontId="5" fillId="38" borderId="23" xfId="0" applyFont="1" applyFill="1" applyBorder="1" applyAlignment="1">
      <alignment/>
    </xf>
    <xf numFmtId="1" fontId="5" fillId="36" borderId="23" xfId="0" applyNumberFormat="1" applyFont="1" applyFill="1" applyBorder="1" applyAlignment="1">
      <alignment horizontal="center"/>
    </xf>
    <xf numFmtId="9" fontId="5" fillId="36" borderId="23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1" fontId="0" fillId="35" borderId="0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14" fillId="35" borderId="32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8" fillId="35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37" borderId="18" xfId="0" applyFont="1" applyFill="1" applyBorder="1" applyAlignment="1">
      <alignment horizontal="center" wrapText="1"/>
    </xf>
    <xf numFmtId="0" fontId="0" fillId="38" borderId="18" xfId="0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 horizontal="left"/>
    </xf>
    <xf numFmtId="0" fontId="17" fillId="41" borderId="0" xfId="53" applyFill="1" applyAlignment="1" applyProtection="1">
      <alignment/>
      <protection/>
    </xf>
    <xf numFmtId="0" fontId="19" fillId="35" borderId="34" xfId="0" applyFont="1" applyFill="1" applyBorder="1" applyAlignment="1">
      <alignment/>
    </xf>
    <xf numFmtId="0" fontId="19" fillId="35" borderId="35" xfId="0" applyFont="1" applyFill="1" applyBorder="1" applyAlignment="1">
      <alignment/>
    </xf>
    <xf numFmtId="0" fontId="19" fillId="35" borderId="23" xfId="0" applyFont="1" applyFill="1" applyBorder="1" applyAlignment="1">
      <alignment horizontal="center"/>
    </xf>
    <xf numFmtId="0" fontId="19" fillId="35" borderId="36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38" borderId="18" xfId="0" applyFont="1" applyFill="1" applyBorder="1" applyAlignment="1">
      <alignment horizontal="center"/>
    </xf>
    <xf numFmtId="0" fontId="0" fillId="43" borderId="18" xfId="0" applyFill="1" applyBorder="1" applyAlignment="1">
      <alignment/>
    </xf>
    <xf numFmtId="0" fontId="0" fillId="43" borderId="18" xfId="0" applyFill="1" applyBorder="1" applyAlignment="1">
      <alignment horizontal="left"/>
    </xf>
    <xf numFmtId="0" fontId="0" fillId="43" borderId="18" xfId="0" applyFill="1" applyBorder="1" applyAlignment="1">
      <alignment/>
    </xf>
    <xf numFmtId="0" fontId="0" fillId="43" borderId="18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40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44" borderId="18" xfId="0" applyFill="1" applyBorder="1" applyAlignment="1">
      <alignment horizontal="left"/>
    </xf>
    <xf numFmtId="0" fontId="0" fillId="44" borderId="18" xfId="0" applyFill="1" applyBorder="1" applyAlignment="1">
      <alignment/>
    </xf>
    <xf numFmtId="0" fontId="0" fillId="44" borderId="18" xfId="0" applyFill="1" applyBorder="1" applyAlignment="1">
      <alignment horizontal="center"/>
    </xf>
    <xf numFmtId="0" fontId="16" fillId="0" borderId="18" xfId="0" applyFont="1" applyFill="1" applyBorder="1" applyAlignment="1">
      <alignment wrapText="1"/>
    </xf>
    <xf numFmtId="0" fontId="16" fillId="0" borderId="18" xfId="0" applyFont="1" applyFill="1" applyBorder="1" applyAlignment="1">
      <alignment/>
    </xf>
    <xf numFmtId="0" fontId="0" fillId="45" borderId="18" xfId="0" applyFill="1" applyBorder="1" applyAlignment="1">
      <alignment horizontal="left"/>
    </xf>
    <xf numFmtId="0" fontId="0" fillId="45" borderId="18" xfId="0" applyFill="1" applyBorder="1" applyAlignment="1">
      <alignment/>
    </xf>
    <xf numFmtId="0" fontId="0" fillId="45" borderId="18" xfId="0" applyFill="1" applyBorder="1" applyAlignment="1">
      <alignment horizontal="center"/>
    </xf>
    <xf numFmtId="0" fontId="5" fillId="45" borderId="18" xfId="0" applyFont="1" applyFill="1" applyBorder="1" applyAlignment="1">
      <alignment/>
    </xf>
    <xf numFmtId="0" fontId="5" fillId="44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5" fillId="41" borderId="31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5" fillId="36" borderId="0" xfId="0" applyFont="1" applyFill="1" applyAlignment="1">
      <alignment/>
    </xf>
    <xf numFmtId="1" fontId="5" fillId="36" borderId="23" xfId="0" applyNumberFormat="1" applyFont="1" applyFill="1" applyBorder="1" applyAlignment="1">
      <alignment/>
    </xf>
    <xf numFmtId="0" fontId="0" fillId="41" borderId="0" xfId="0" applyFill="1" applyAlignment="1">
      <alignment vertical="top"/>
    </xf>
    <xf numFmtId="0" fontId="5" fillId="41" borderId="0" xfId="0" applyFont="1" applyFill="1" applyAlignment="1">
      <alignment horizontal="left"/>
    </xf>
    <xf numFmtId="0" fontId="21" fillId="41" borderId="0" xfId="0" applyFont="1" applyFill="1" applyAlignment="1">
      <alignment/>
    </xf>
    <xf numFmtId="0" fontId="2" fillId="38" borderId="18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2" fontId="0" fillId="38" borderId="18" xfId="0" applyNumberFormat="1" applyFill="1" applyBorder="1" applyAlignment="1">
      <alignment horizontal="center"/>
    </xf>
    <xf numFmtId="0" fontId="10" fillId="42" borderId="18" xfId="0" applyFont="1" applyFill="1" applyBorder="1" applyAlignment="1">
      <alignment horizontal="center"/>
    </xf>
    <xf numFmtId="0" fontId="4" fillId="42" borderId="18" xfId="0" applyFont="1" applyFill="1" applyBorder="1" applyAlignment="1">
      <alignment horizontal="center"/>
    </xf>
    <xf numFmtId="0" fontId="0" fillId="42" borderId="18" xfId="0" applyFont="1" applyFill="1" applyBorder="1" applyAlignment="1">
      <alignment/>
    </xf>
    <xf numFmtId="2" fontId="0" fillId="42" borderId="18" xfId="0" applyNumberFormat="1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5" fillId="38" borderId="18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5" fillId="37" borderId="18" xfId="0" applyFont="1" applyFill="1" applyBorder="1" applyAlignment="1">
      <alignment horizontal="center"/>
    </xf>
    <xf numFmtId="2" fontId="0" fillId="37" borderId="18" xfId="0" applyNumberFormat="1" applyFill="1" applyBorder="1" applyAlignment="1">
      <alignment horizontal="center"/>
    </xf>
    <xf numFmtId="0" fontId="0" fillId="37" borderId="37" xfId="0" applyFill="1" applyBorder="1" applyAlignment="1">
      <alignment/>
    </xf>
    <xf numFmtId="0" fontId="0" fillId="37" borderId="37" xfId="0" applyFill="1" applyBorder="1" applyAlignment="1">
      <alignment horizontal="center"/>
    </xf>
    <xf numFmtId="2" fontId="0" fillId="37" borderId="37" xfId="0" applyNumberForma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40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2" fontId="0" fillId="37" borderId="38" xfId="0" applyNumberForma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5" fillId="45" borderId="18" xfId="0" applyFont="1" applyFill="1" applyBorder="1" applyAlignment="1">
      <alignment/>
    </xf>
    <xf numFmtId="0" fontId="5" fillId="44" borderId="18" xfId="0" applyFont="1" applyFill="1" applyBorder="1" applyAlignment="1">
      <alignment/>
    </xf>
    <xf numFmtId="0" fontId="0" fillId="37" borderId="0" xfId="0" applyFill="1" applyAlignment="1">
      <alignment horizontal="right"/>
    </xf>
    <xf numFmtId="1" fontId="0" fillId="42" borderId="35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0" fontId="0" fillId="36" borderId="35" xfId="0" applyFill="1" applyBorder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/>
    </xf>
    <xf numFmtId="1" fontId="5" fillId="36" borderId="25" xfId="0" applyNumberFormat="1" applyFont="1" applyFill="1" applyBorder="1" applyAlignment="1">
      <alignment/>
    </xf>
    <xf numFmtId="0" fontId="0" fillId="35" borderId="35" xfId="0" applyFill="1" applyBorder="1" applyAlignment="1">
      <alignment/>
    </xf>
    <xf numFmtId="0" fontId="0" fillId="40" borderId="35" xfId="0" applyFill="1" applyBorder="1" applyAlignment="1">
      <alignment/>
    </xf>
    <xf numFmtId="0" fontId="0" fillId="0" borderId="35" xfId="0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1" fontId="0" fillId="42" borderId="34" xfId="0" applyNumberFormat="1" applyFill="1" applyBorder="1" applyAlignment="1">
      <alignment/>
    </xf>
    <xf numFmtId="0" fontId="0" fillId="35" borderId="34" xfId="0" applyFill="1" applyBorder="1" applyAlignment="1">
      <alignment/>
    </xf>
    <xf numFmtId="0" fontId="15" fillId="41" borderId="23" xfId="0" applyFont="1" applyFill="1" applyBorder="1" applyAlignment="1" applyProtection="1">
      <alignment horizontal="center"/>
      <protection locked="0"/>
    </xf>
    <xf numFmtId="0" fontId="19" fillId="35" borderId="34" xfId="0" applyFont="1" applyFill="1" applyBorder="1" applyAlignment="1">
      <alignment horizontal="center"/>
    </xf>
    <xf numFmtId="0" fontId="19" fillId="35" borderId="3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5" fillId="37" borderId="38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2" fontId="0" fillId="38" borderId="17" xfId="0" applyNumberFormat="1" applyFill="1" applyBorder="1" applyAlignment="1">
      <alignment horizontal="center"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0" xfId="0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2" fontId="0" fillId="38" borderId="40" xfId="0" applyNumberFormat="1" applyFill="1" applyBorder="1" applyAlignment="1">
      <alignment horizontal="center"/>
    </xf>
    <xf numFmtId="0" fontId="0" fillId="40" borderId="41" xfId="0" applyFill="1" applyBorder="1" applyAlignment="1">
      <alignment/>
    </xf>
    <xf numFmtId="0" fontId="0" fillId="34" borderId="41" xfId="0" applyFill="1" applyBorder="1" applyAlignment="1">
      <alignment/>
    </xf>
    <xf numFmtId="0" fontId="0" fillId="37" borderId="41" xfId="0" applyFill="1" applyBorder="1" applyAlignment="1">
      <alignment/>
    </xf>
    <xf numFmtId="0" fontId="0" fillId="38" borderId="41" xfId="0" applyFill="1" applyBorder="1" applyAlignment="1">
      <alignment/>
    </xf>
    <xf numFmtId="0" fontId="0" fillId="37" borderId="42" xfId="0" applyFill="1" applyBorder="1" applyAlignment="1">
      <alignment/>
    </xf>
    <xf numFmtId="0" fontId="6" fillId="37" borderId="37" xfId="0" applyFont="1" applyFill="1" applyBorder="1" applyAlignment="1">
      <alignment horizontal="center"/>
    </xf>
    <xf numFmtId="0" fontId="0" fillId="0" borderId="19" xfId="0" applyBorder="1" applyAlignment="1">
      <alignment/>
    </xf>
    <xf numFmtId="2" fontId="0" fillId="38" borderId="18" xfId="0" applyNumberFormat="1" applyFill="1" applyBorder="1" applyAlignment="1">
      <alignment/>
    </xf>
    <xf numFmtId="2" fontId="0" fillId="40" borderId="18" xfId="0" applyNumberForma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40" borderId="44" xfId="0" applyFill="1" applyBorder="1" applyAlignment="1">
      <alignment/>
    </xf>
    <xf numFmtId="0" fontId="0" fillId="40" borderId="44" xfId="0" applyFill="1" applyBorder="1" applyAlignment="1">
      <alignment horizontal="center"/>
    </xf>
    <xf numFmtId="2" fontId="0" fillId="40" borderId="44" xfId="0" applyNumberFormat="1" applyFill="1" applyBorder="1" applyAlignment="1">
      <alignment/>
    </xf>
    <xf numFmtId="1" fontId="0" fillId="0" borderId="13" xfId="0" applyNumberFormat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9" xfId="0" applyFill="1" applyBorder="1" applyAlignment="1">
      <alignment/>
    </xf>
    <xf numFmtId="0" fontId="5" fillId="34" borderId="23" xfId="0" applyFont="1" applyFill="1" applyBorder="1" applyAlignment="1" applyProtection="1">
      <alignment horizontal="center"/>
      <protection locked="0"/>
    </xf>
    <xf numFmtId="0" fontId="19" fillId="38" borderId="23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0" fontId="0" fillId="37" borderId="31" xfId="0" applyFill="1" applyBorder="1" applyAlignment="1">
      <alignment/>
    </xf>
    <xf numFmtId="2" fontId="0" fillId="37" borderId="31" xfId="0" applyNumberFormat="1" applyFill="1" applyBorder="1" applyAlignment="1">
      <alignment/>
    </xf>
    <xf numFmtId="164" fontId="0" fillId="37" borderId="31" xfId="0" applyNumberFormat="1" applyFill="1" applyBorder="1" applyAlignment="1">
      <alignment/>
    </xf>
    <xf numFmtId="9" fontId="0" fillId="37" borderId="31" xfId="0" applyNumberFormat="1" applyFill="1" applyBorder="1" applyAlignment="1">
      <alignment/>
    </xf>
    <xf numFmtId="1" fontId="5" fillId="3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36" borderId="31" xfId="0" applyFont="1" applyFill="1" applyBorder="1" applyAlignment="1">
      <alignment/>
    </xf>
    <xf numFmtId="0" fontId="0" fillId="38" borderId="29" xfId="0" applyFill="1" applyBorder="1" applyAlignment="1">
      <alignment/>
    </xf>
    <xf numFmtId="0" fontId="5" fillId="36" borderId="25" xfId="0" applyFont="1" applyFill="1" applyBorder="1" applyAlignment="1">
      <alignment/>
    </xf>
    <xf numFmtId="0" fontId="0" fillId="38" borderId="26" xfId="0" applyFill="1" applyBorder="1" applyAlignment="1">
      <alignment/>
    </xf>
    <xf numFmtId="0" fontId="27" fillId="38" borderId="24" xfId="0" applyFont="1" applyFill="1" applyBorder="1" applyAlignment="1">
      <alignment/>
    </xf>
    <xf numFmtId="0" fontId="27" fillId="38" borderId="25" xfId="0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0" fillId="0" borderId="46" xfId="0" applyBorder="1" applyAlignment="1">
      <alignment/>
    </xf>
    <xf numFmtId="0" fontId="28" fillId="39" borderId="18" xfId="0" applyFont="1" applyFill="1" applyBorder="1" applyAlignment="1">
      <alignment wrapText="1"/>
    </xf>
    <xf numFmtId="0" fontId="29" fillId="39" borderId="18" xfId="0" applyFont="1" applyFill="1" applyBorder="1" applyAlignment="1">
      <alignment horizontal="center" wrapText="1"/>
    </xf>
    <xf numFmtId="0" fontId="29" fillId="39" borderId="18" xfId="0" applyFont="1" applyFill="1" applyBorder="1" applyAlignment="1">
      <alignment horizontal="center"/>
    </xf>
    <xf numFmtId="0" fontId="29" fillId="39" borderId="18" xfId="0" applyFont="1" applyFill="1" applyBorder="1" applyAlignment="1">
      <alignment/>
    </xf>
    <xf numFmtId="0" fontId="29" fillId="39" borderId="47" xfId="0" applyFont="1" applyFill="1" applyBorder="1" applyAlignment="1">
      <alignment horizontal="left"/>
    </xf>
    <xf numFmtId="2" fontId="0" fillId="0" borderId="38" xfId="0" applyNumberFormat="1" applyBorder="1" applyAlignment="1">
      <alignment/>
    </xf>
    <xf numFmtId="0" fontId="0" fillId="46" borderId="23" xfId="0" applyFill="1" applyBorder="1" applyAlignment="1">
      <alignment/>
    </xf>
    <xf numFmtId="0" fontId="0" fillId="39" borderId="23" xfId="0" applyFill="1" applyBorder="1" applyAlignment="1">
      <alignment/>
    </xf>
    <xf numFmtId="0" fontId="0" fillId="33" borderId="18" xfId="0" applyFill="1" applyBorder="1" applyAlignment="1">
      <alignment horizontal="left"/>
    </xf>
    <xf numFmtId="2" fontId="0" fillId="33" borderId="18" xfId="0" applyNumberFormat="1" applyFill="1" applyBorder="1" applyAlignment="1">
      <alignment/>
    </xf>
    <xf numFmtId="49" fontId="0" fillId="0" borderId="0" xfId="0" applyNumberFormat="1" applyAlignment="1">
      <alignment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2" fontId="5" fillId="33" borderId="18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0" fontId="5" fillId="0" borderId="32" xfId="0" applyFont="1" applyFill="1" applyBorder="1" applyAlignment="1" applyProtection="1">
      <alignment horizontal="center"/>
      <protection locked="0"/>
    </xf>
    <xf numFmtId="0" fontId="0" fillId="41" borderId="0" xfId="0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38" borderId="0" xfId="0" applyFont="1" applyFill="1" applyAlignment="1">
      <alignment/>
    </xf>
    <xf numFmtId="0" fontId="0" fillId="41" borderId="0" xfId="0" applyFill="1" applyAlignment="1">
      <alignment horizontal="left" wrapText="1"/>
    </xf>
    <xf numFmtId="0" fontId="0" fillId="0" borderId="47" xfId="0" applyBorder="1" applyAlignment="1">
      <alignment horizontal="left"/>
    </xf>
    <xf numFmtId="2" fontId="0" fillId="0" borderId="47" xfId="0" applyNumberFormat="1" applyBorder="1" applyAlignment="1">
      <alignment horizontal="left"/>
    </xf>
    <xf numFmtId="0" fontId="1" fillId="38" borderId="24" xfId="0" applyFont="1" applyFill="1" applyBorder="1" applyAlignment="1">
      <alignment/>
    </xf>
    <xf numFmtId="0" fontId="0" fillId="41" borderId="0" xfId="0" applyFont="1" applyFill="1" applyAlignment="1">
      <alignment horizontal="center"/>
    </xf>
    <xf numFmtId="0" fontId="0" fillId="0" borderId="47" xfId="0" applyBorder="1" applyAlignment="1">
      <alignment/>
    </xf>
    <xf numFmtId="0" fontId="5" fillId="33" borderId="47" xfId="0" applyFont="1" applyFill="1" applyBorder="1" applyAlignment="1">
      <alignment horizontal="center" wrapText="1"/>
    </xf>
    <xf numFmtId="0" fontId="0" fillId="0" borderId="47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29" fillId="39" borderId="47" xfId="0" applyFont="1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33" borderId="47" xfId="0" applyFill="1" applyBorder="1" applyAlignment="1">
      <alignment/>
    </xf>
    <xf numFmtId="0" fontId="0" fillId="44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45" borderId="47" xfId="0" applyFill="1" applyBorder="1" applyAlignment="1">
      <alignment/>
    </xf>
    <xf numFmtId="0" fontId="0" fillId="43" borderId="47" xfId="0" applyFill="1" applyBorder="1" applyAlignment="1">
      <alignment/>
    </xf>
    <xf numFmtId="0" fontId="26" fillId="41" borderId="0" xfId="0" applyFont="1" applyFill="1" applyBorder="1" applyAlignment="1" applyProtection="1">
      <alignment horizontal="center"/>
      <protection locked="0"/>
    </xf>
    <xf numFmtId="0" fontId="0" fillId="41" borderId="0" xfId="0" applyFont="1" applyFill="1" applyAlignment="1" applyProtection="1">
      <alignment horizontal="center"/>
      <protection locked="0"/>
    </xf>
    <xf numFmtId="0" fontId="30" fillId="41" borderId="0" xfId="0" applyFont="1" applyFill="1" applyAlignment="1">
      <alignment/>
    </xf>
    <xf numFmtId="0" fontId="30" fillId="35" borderId="14" xfId="0" applyFont="1" applyFill="1" applyBorder="1" applyAlignment="1">
      <alignment/>
    </xf>
    <xf numFmtId="0" fontId="30" fillId="35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35" xfId="0" applyFont="1" applyFill="1" applyBorder="1" applyAlignment="1">
      <alignment/>
    </xf>
    <xf numFmtId="1" fontId="30" fillId="35" borderId="0" xfId="0" applyNumberFormat="1" applyFont="1" applyFill="1" applyBorder="1" applyAlignment="1">
      <alignment/>
    </xf>
    <xf numFmtId="0" fontId="30" fillId="35" borderId="27" xfId="0" applyFont="1" applyFill="1" applyBorder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35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5" fillId="41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0" fontId="31" fillId="0" borderId="0" xfId="0" applyFont="1" applyAlignment="1">
      <alignment/>
    </xf>
    <xf numFmtId="1" fontId="0" fillId="38" borderId="25" xfId="0" applyNumberFormat="1" applyFill="1" applyBorder="1" applyAlignment="1">
      <alignment horizontal="right"/>
    </xf>
    <xf numFmtId="0" fontId="15" fillId="0" borderId="18" xfId="0" applyFont="1" applyFill="1" applyBorder="1" applyAlignment="1">
      <alignment horizontal="center" wrapText="1"/>
    </xf>
    <xf numFmtId="0" fontId="15" fillId="37" borderId="18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horizontal="center" wrapText="1"/>
    </xf>
    <xf numFmtId="0" fontId="0" fillId="47" borderId="18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2" fontId="0" fillId="0" borderId="44" xfId="0" applyNumberFormat="1" applyFill="1" applyBorder="1" applyAlignment="1">
      <alignment/>
    </xf>
    <xf numFmtId="2" fontId="0" fillId="0" borderId="44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40" borderId="47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42" borderId="47" xfId="0" applyFill="1" applyBorder="1" applyAlignment="1">
      <alignment/>
    </xf>
    <xf numFmtId="0" fontId="0" fillId="38" borderId="47" xfId="0" applyFill="1" applyBorder="1" applyAlignment="1">
      <alignment/>
    </xf>
    <xf numFmtId="0" fontId="0" fillId="40" borderId="52" xfId="0" applyFill="1" applyBorder="1" applyAlignment="1">
      <alignment/>
    </xf>
    <xf numFmtId="2" fontId="0" fillId="38" borderId="17" xfId="0" applyNumberFormat="1" applyFill="1" applyBorder="1" applyAlignment="1">
      <alignment/>
    </xf>
    <xf numFmtId="0" fontId="0" fillId="38" borderId="49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47" borderId="18" xfId="0" applyFill="1" applyBorder="1" applyAlignment="1">
      <alignment horizontal="left"/>
    </xf>
    <xf numFmtId="2" fontId="0" fillId="44" borderId="18" xfId="0" applyNumberFormat="1" applyFill="1" applyBorder="1" applyAlignment="1">
      <alignment/>
    </xf>
    <xf numFmtId="0" fontId="0" fillId="33" borderId="0" xfId="0" applyFill="1" applyAlignment="1">
      <alignment/>
    </xf>
    <xf numFmtId="0" fontId="16" fillId="39" borderId="18" xfId="0" applyFont="1" applyFill="1" applyBorder="1" applyAlignment="1">
      <alignment/>
    </xf>
    <xf numFmtId="0" fontId="0" fillId="39" borderId="18" xfId="0" applyFill="1" applyBorder="1" applyAlignment="1">
      <alignment horizontal="left"/>
    </xf>
    <xf numFmtId="2" fontId="0" fillId="39" borderId="18" xfId="0" applyNumberFormat="1" applyFill="1" applyBorder="1" applyAlignment="1">
      <alignment/>
    </xf>
    <xf numFmtId="0" fontId="0" fillId="39" borderId="18" xfId="0" applyFill="1" applyBorder="1" applyAlignment="1">
      <alignment horizontal="center" wrapText="1"/>
    </xf>
    <xf numFmtId="0" fontId="0" fillId="39" borderId="47" xfId="0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5" fontId="0" fillId="0" borderId="0" xfId="0" applyNumberFormat="1" applyAlignment="1">
      <alignment/>
    </xf>
    <xf numFmtId="0" fontId="19" fillId="35" borderId="0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31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ill="1" applyAlignment="1">
      <alignment horizontal="left" vertical="top" wrapText="1"/>
    </xf>
    <xf numFmtId="0" fontId="5" fillId="41" borderId="0" xfId="0" applyFont="1" applyFill="1" applyAlignment="1">
      <alignment horizontal="left"/>
    </xf>
    <xf numFmtId="0" fontId="0" fillId="41" borderId="0" xfId="0" applyFill="1" applyAlignment="1">
      <alignment horizontal="left"/>
    </xf>
    <xf numFmtId="0" fontId="0" fillId="41" borderId="0" xfId="0" applyFill="1" applyAlignment="1">
      <alignment horizontal="left" wrapText="1"/>
    </xf>
    <xf numFmtId="0" fontId="19" fillId="35" borderId="24" xfId="0" applyFont="1" applyFill="1" applyBorder="1" applyAlignment="1" applyProtection="1">
      <alignment horizontal="center"/>
      <protection locked="0"/>
    </xf>
    <xf numFmtId="0" fontId="19" fillId="35" borderId="31" xfId="0" applyFont="1" applyFill="1" applyBorder="1" applyAlignment="1" applyProtection="1">
      <alignment horizontal="center"/>
      <protection locked="0"/>
    </xf>
    <xf numFmtId="0" fontId="19" fillId="35" borderId="25" xfId="0" applyFont="1" applyFill="1" applyBorder="1" applyAlignment="1" applyProtection="1">
      <alignment horizontal="center"/>
      <protection locked="0"/>
    </xf>
    <xf numFmtId="0" fontId="5" fillId="38" borderId="24" xfId="0" applyFont="1" applyFill="1" applyBorder="1" applyAlignment="1" applyProtection="1">
      <alignment horizontal="right"/>
      <protection/>
    </xf>
    <xf numFmtId="0" fontId="0" fillId="38" borderId="25" xfId="0" applyFill="1" applyBorder="1" applyAlignment="1">
      <alignment/>
    </xf>
    <xf numFmtId="0" fontId="5" fillId="38" borderId="25" xfId="0" applyFont="1" applyFill="1" applyBorder="1" applyAlignment="1" applyProtection="1">
      <alignment horizontal="right"/>
      <protection/>
    </xf>
    <xf numFmtId="0" fontId="0" fillId="37" borderId="18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26" fillId="34" borderId="24" xfId="0" applyFont="1" applyFill="1" applyBorder="1" applyAlignment="1" applyProtection="1">
      <alignment horizontal="center"/>
      <protection locked="0"/>
    </xf>
    <xf numFmtId="0" fontId="26" fillId="34" borderId="25" xfId="0" applyFont="1" applyFill="1" applyBorder="1" applyAlignment="1" applyProtection="1">
      <alignment horizontal="center"/>
      <protection locked="0"/>
    </xf>
    <xf numFmtId="0" fontId="2" fillId="0" borderId="38" xfId="0" applyNumberFormat="1" applyFont="1" applyBorder="1" applyAlignment="1" quotePrefix="1">
      <alignment horizontal="center" textRotation="90"/>
    </xf>
    <xf numFmtId="0" fontId="0" fillId="0" borderId="43" xfId="0" applyFont="1" applyBorder="1" applyAlignment="1">
      <alignment horizontal="center" textRotation="90"/>
    </xf>
    <xf numFmtId="0" fontId="3" fillId="0" borderId="38" xfId="0" applyNumberFormat="1" applyFont="1" applyBorder="1" applyAlignment="1" quotePrefix="1">
      <alignment horizontal="center" textRotation="90"/>
    </xf>
    <xf numFmtId="0" fontId="7" fillId="0" borderId="43" xfId="0" applyFont="1" applyBorder="1" applyAlignment="1">
      <alignment horizontal="center" textRotation="90"/>
    </xf>
    <xf numFmtId="0" fontId="4" fillId="0" borderId="38" xfId="0" applyNumberFormat="1" applyFont="1" applyFill="1" applyBorder="1" applyAlignment="1" quotePrefix="1">
      <alignment horizontal="center" textRotation="90"/>
    </xf>
    <xf numFmtId="0" fontId="8" fillId="0" borderId="43" xfId="0" applyFont="1" applyFill="1" applyBorder="1" applyAlignment="1">
      <alignment horizontal="center" textRotation="90"/>
    </xf>
    <xf numFmtId="0" fontId="6" fillId="0" borderId="38" xfId="0" applyNumberFormat="1" applyFont="1" applyBorder="1" applyAlignment="1" quotePrefix="1">
      <alignment horizontal="center" textRotation="90"/>
    </xf>
    <xf numFmtId="0" fontId="6" fillId="0" borderId="43" xfId="0" applyFont="1" applyBorder="1" applyAlignment="1">
      <alignment horizontal="center" textRotation="90"/>
    </xf>
    <xf numFmtId="0" fontId="24" fillId="0" borderId="38" xfId="0" applyNumberFormat="1" applyFont="1" applyBorder="1" applyAlignment="1" quotePrefix="1">
      <alignment horizontal="center" textRotation="90"/>
    </xf>
    <xf numFmtId="0" fontId="24" fillId="0" borderId="43" xfId="0" applyNumberFormat="1" applyFont="1" applyBorder="1" applyAlignment="1" quotePrefix="1">
      <alignment horizontal="center" textRotation="90"/>
    </xf>
    <xf numFmtId="0" fontId="5" fillId="0" borderId="38" xfId="0" applyNumberFormat="1" applyFont="1" applyBorder="1" applyAlignment="1" quotePrefix="1">
      <alignment horizontal="center" textRotation="90"/>
    </xf>
    <xf numFmtId="0" fontId="5" fillId="0" borderId="43" xfId="0" applyFont="1" applyBorder="1" applyAlignment="1">
      <alignment horizontal="center" textRotation="90"/>
    </xf>
    <xf numFmtId="0" fontId="25" fillId="0" borderId="38" xfId="0" applyNumberFormat="1" applyFont="1" applyFill="1" applyBorder="1" applyAlignment="1">
      <alignment horizontal="center" textRotation="90"/>
    </xf>
    <xf numFmtId="0" fontId="25" fillId="0" borderId="43" xfId="0" applyNumberFormat="1" applyFont="1" applyFill="1" applyBorder="1" applyAlignment="1" quotePrefix="1">
      <alignment horizontal="center" textRotation="90"/>
    </xf>
    <xf numFmtId="0" fontId="0" fillId="0" borderId="53" xfId="0" applyBorder="1" applyAlignment="1">
      <alignment wrapText="1"/>
    </xf>
    <xf numFmtId="0" fontId="24" fillId="0" borderId="38" xfId="0" applyNumberFormat="1" applyFont="1" applyFill="1" applyBorder="1" applyAlignment="1" quotePrefix="1">
      <alignment horizontal="center" textRotation="90"/>
    </xf>
    <xf numFmtId="0" fontId="24" fillId="0" borderId="43" xfId="0" applyNumberFormat="1" applyFont="1" applyFill="1" applyBorder="1" applyAlignment="1" quotePrefix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u val="single"/>
        <strike val="0"/>
        <color rgb="FFFF0000"/>
      </font>
      <fill>
        <patternFill>
          <bgColor rgb="FFFF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104775</xdr:colOff>
      <xdr:row>83</xdr:row>
      <xdr:rowOff>0</xdr:rowOff>
    </xdr:to>
    <xdr:pic>
      <xdr:nvPicPr>
        <xdr:cNvPr id="1" name="Picture 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778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104775</xdr:colOff>
      <xdr:row>84</xdr:row>
      <xdr:rowOff>0</xdr:rowOff>
    </xdr:to>
    <xdr:pic>
      <xdr:nvPicPr>
        <xdr:cNvPr id="2" name="Picture 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398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104775</xdr:colOff>
      <xdr:row>34</xdr:row>
      <xdr:rowOff>0</xdr:rowOff>
    </xdr:to>
    <xdr:pic>
      <xdr:nvPicPr>
        <xdr:cNvPr id="3" name="Picture 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104775</xdr:colOff>
      <xdr:row>84</xdr:row>
      <xdr:rowOff>0</xdr:rowOff>
    </xdr:to>
    <xdr:pic>
      <xdr:nvPicPr>
        <xdr:cNvPr id="4" name="Picture 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398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104775</xdr:colOff>
      <xdr:row>85</xdr:row>
      <xdr:rowOff>0</xdr:rowOff>
    </xdr:to>
    <xdr:pic>
      <xdr:nvPicPr>
        <xdr:cNvPr id="5" name="Picture 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017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104775</xdr:colOff>
      <xdr:row>36</xdr:row>
      <xdr:rowOff>0</xdr:rowOff>
    </xdr:to>
    <xdr:pic>
      <xdr:nvPicPr>
        <xdr:cNvPr id="6" name="Picture 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104775</xdr:colOff>
      <xdr:row>37</xdr:row>
      <xdr:rowOff>0</xdr:rowOff>
    </xdr:to>
    <xdr:pic>
      <xdr:nvPicPr>
        <xdr:cNvPr id="7" name="Picture 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104775</xdr:colOff>
      <xdr:row>127</xdr:row>
      <xdr:rowOff>0</xdr:rowOff>
    </xdr:to>
    <xdr:pic>
      <xdr:nvPicPr>
        <xdr:cNvPr id="8" name="Picture 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6025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104775</xdr:colOff>
      <xdr:row>128</xdr:row>
      <xdr:rowOff>0</xdr:rowOff>
    </xdr:to>
    <xdr:pic>
      <xdr:nvPicPr>
        <xdr:cNvPr id="9" name="Picture 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645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104775</xdr:colOff>
      <xdr:row>129</xdr:row>
      <xdr:rowOff>0</xdr:rowOff>
    </xdr:to>
    <xdr:pic>
      <xdr:nvPicPr>
        <xdr:cNvPr id="10" name="Picture 1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26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104775</xdr:colOff>
      <xdr:row>147</xdr:row>
      <xdr:rowOff>0</xdr:rowOff>
    </xdr:to>
    <xdr:pic>
      <xdr:nvPicPr>
        <xdr:cNvPr id="11" name="Picture 1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077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104775</xdr:colOff>
      <xdr:row>149</xdr:row>
      <xdr:rowOff>0</xdr:rowOff>
    </xdr:to>
    <xdr:pic>
      <xdr:nvPicPr>
        <xdr:cNvPr id="12" name="Picture 1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697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104775</xdr:colOff>
      <xdr:row>152</xdr:row>
      <xdr:rowOff>0</xdr:rowOff>
    </xdr:to>
    <xdr:pic>
      <xdr:nvPicPr>
        <xdr:cNvPr id="13" name="Picture 1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316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104775</xdr:colOff>
      <xdr:row>152</xdr:row>
      <xdr:rowOff>0</xdr:rowOff>
    </xdr:to>
    <xdr:pic>
      <xdr:nvPicPr>
        <xdr:cNvPr id="14" name="Picture 1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935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104775</xdr:colOff>
      <xdr:row>157</xdr:row>
      <xdr:rowOff>0</xdr:rowOff>
    </xdr:to>
    <xdr:pic>
      <xdr:nvPicPr>
        <xdr:cNvPr id="15" name="Picture 1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174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104775</xdr:colOff>
      <xdr:row>157</xdr:row>
      <xdr:rowOff>0</xdr:rowOff>
    </xdr:to>
    <xdr:pic>
      <xdr:nvPicPr>
        <xdr:cNvPr id="16" name="Picture 1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793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104775</xdr:colOff>
      <xdr:row>159</xdr:row>
      <xdr:rowOff>0</xdr:rowOff>
    </xdr:to>
    <xdr:pic>
      <xdr:nvPicPr>
        <xdr:cNvPr id="17" name="Picture 1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104775</xdr:colOff>
      <xdr:row>159</xdr:row>
      <xdr:rowOff>0</xdr:rowOff>
    </xdr:to>
    <xdr:pic>
      <xdr:nvPicPr>
        <xdr:cNvPr id="18" name="Picture 1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031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104775</xdr:colOff>
      <xdr:row>161</xdr:row>
      <xdr:rowOff>0</xdr:rowOff>
    </xdr:to>
    <xdr:pic>
      <xdr:nvPicPr>
        <xdr:cNvPr id="19" name="Picture 1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5651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104775</xdr:colOff>
      <xdr:row>162</xdr:row>
      <xdr:rowOff>0</xdr:rowOff>
    </xdr:to>
    <xdr:pic>
      <xdr:nvPicPr>
        <xdr:cNvPr id="20" name="Picture 2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270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104775</xdr:colOff>
      <xdr:row>123</xdr:row>
      <xdr:rowOff>0</xdr:rowOff>
    </xdr:to>
    <xdr:pic>
      <xdr:nvPicPr>
        <xdr:cNvPr id="21" name="Picture 2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548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104775</xdr:colOff>
      <xdr:row>124</xdr:row>
      <xdr:rowOff>0</xdr:rowOff>
    </xdr:to>
    <xdr:pic>
      <xdr:nvPicPr>
        <xdr:cNvPr id="22" name="Picture 2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168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104775</xdr:colOff>
      <xdr:row>97</xdr:row>
      <xdr:rowOff>0</xdr:rowOff>
    </xdr:to>
    <xdr:pic>
      <xdr:nvPicPr>
        <xdr:cNvPr id="23" name="Picture 2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44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104775</xdr:colOff>
      <xdr:row>98</xdr:row>
      <xdr:rowOff>0</xdr:rowOff>
    </xdr:to>
    <xdr:pic>
      <xdr:nvPicPr>
        <xdr:cNvPr id="24" name="Picture 2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104775</xdr:colOff>
      <xdr:row>99</xdr:row>
      <xdr:rowOff>0</xdr:rowOff>
    </xdr:to>
    <xdr:pic>
      <xdr:nvPicPr>
        <xdr:cNvPr id="25" name="Picture 2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104775</xdr:colOff>
      <xdr:row>100</xdr:row>
      <xdr:rowOff>0</xdr:rowOff>
    </xdr:to>
    <xdr:pic>
      <xdr:nvPicPr>
        <xdr:cNvPr id="26" name="Picture 2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30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104775</xdr:colOff>
      <xdr:row>101</xdr:row>
      <xdr:rowOff>0</xdr:rowOff>
    </xdr:to>
    <xdr:pic>
      <xdr:nvPicPr>
        <xdr:cNvPr id="27" name="Picture 2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104775</xdr:colOff>
      <xdr:row>102</xdr:row>
      <xdr:rowOff>0</xdr:rowOff>
    </xdr:to>
    <xdr:pic>
      <xdr:nvPicPr>
        <xdr:cNvPr id="28" name="Picture 2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104775</xdr:colOff>
      <xdr:row>103</xdr:row>
      <xdr:rowOff>0</xdr:rowOff>
    </xdr:to>
    <xdr:pic>
      <xdr:nvPicPr>
        <xdr:cNvPr id="29" name="Picture 2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16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0</xdr:rowOff>
    </xdr:to>
    <xdr:pic>
      <xdr:nvPicPr>
        <xdr:cNvPr id="30" name="Picture 3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78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104775</xdr:colOff>
      <xdr:row>106</xdr:row>
      <xdr:rowOff>0</xdr:rowOff>
    </xdr:to>
    <xdr:pic>
      <xdr:nvPicPr>
        <xdr:cNvPr id="31" name="Picture 3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0</xdr:rowOff>
    </xdr:to>
    <xdr:pic>
      <xdr:nvPicPr>
        <xdr:cNvPr id="32" name="Picture 3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95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104775</xdr:colOff>
      <xdr:row>27</xdr:row>
      <xdr:rowOff>0</xdr:rowOff>
    </xdr:to>
    <xdr:pic>
      <xdr:nvPicPr>
        <xdr:cNvPr id="33" name="Picture 3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14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104775</xdr:colOff>
      <xdr:row>106</xdr:row>
      <xdr:rowOff>0</xdr:rowOff>
    </xdr:to>
    <xdr:pic>
      <xdr:nvPicPr>
        <xdr:cNvPr id="34" name="Picture 3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104775</xdr:colOff>
      <xdr:row>107</xdr:row>
      <xdr:rowOff>0</xdr:rowOff>
    </xdr:to>
    <xdr:pic>
      <xdr:nvPicPr>
        <xdr:cNvPr id="35" name="Picture 3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640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104775</xdr:colOff>
      <xdr:row>108</xdr:row>
      <xdr:rowOff>0</xdr:rowOff>
    </xdr:to>
    <xdr:pic>
      <xdr:nvPicPr>
        <xdr:cNvPr id="36" name="Picture 3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104775</xdr:colOff>
      <xdr:row>109</xdr:row>
      <xdr:rowOff>0</xdr:rowOff>
    </xdr:to>
    <xdr:pic>
      <xdr:nvPicPr>
        <xdr:cNvPr id="37" name="Picture 3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879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104775</xdr:colOff>
      <xdr:row>109</xdr:row>
      <xdr:rowOff>0</xdr:rowOff>
    </xdr:to>
    <xdr:pic>
      <xdr:nvPicPr>
        <xdr:cNvPr id="38" name="Picture 3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879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104775</xdr:colOff>
      <xdr:row>110</xdr:row>
      <xdr:rowOff>0</xdr:rowOff>
    </xdr:to>
    <xdr:pic>
      <xdr:nvPicPr>
        <xdr:cNvPr id="39" name="Picture 3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498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104775</xdr:colOff>
      <xdr:row>111</xdr:row>
      <xdr:rowOff>0</xdr:rowOff>
    </xdr:to>
    <xdr:pic>
      <xdr:nvPicPr>
        <xdr:cNvPr id="40" name="Picture 4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104775</xdr:colOff>
      <xdr:row>112</xdr:row>
      <xdr:rowOff>0</xdr:rowOff>
    </xdr:to>
    <xdr:pic>
      <xdr:nvPicPr>
        <xdr:cNvPr id="41" name="Picture 4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737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104775</xdr:colOff>
      <xdr:row>113</xdr:row>
      <xdr:rowOff>0</xdr:rowOff>
    </xdr:to>
    <xdr:pic>
      <xdr:nvPicPr>
        <xdr:cNvPr id="42" name="Picture 4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356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104775</xdr:colOff>
      <xdr:row>114</xdr:row>
      <xdr:rowOff>0</xdr:rowOff>
    </xdr:to>
    <xdr:pic>
      <xdr:nvPicPr>
        <xdr:cNvPr id="43" name="Picture 4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975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104775</xdr:colOff>
      <xdr:row>134</xdr:row>
      <xdr:rowOff>0</xdr:rowOff>
    </xdr:to>
    <xdr:pic>
      <xdr:nvPicPr>
        <xdr:cNvPr id="44" name="Picture 4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360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104775</xdr:colOff>
      <xdr:row>134</xdr:row>
      <xdr:rowOff>0</xdr:rowOff>
    </xdr:to>
    <xdr:pic>
      <xdr:nvPicPr>
        <xdr:cNvPr id="45" name="Picture 4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360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104775</xdr:colOff>
      <xdr:row>135</xdr:row>
      <xdr:rowOff>0</xdr:rowOff>
    </xdr:to>
    <xdr:pic>
      <xdr:nvPicPr>
        <xdr:cNvPr id="46" name="Picture 4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79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104775</xdr:colOff>
      <xdr:row>135</xdr:row>
      <xdr:rowOff>0</xdr:rowOff>
    </xdr:to>
    <xdr:pic>
      <xdr:nvPicPr>
        <xdr:cNvPr id="47" name="Picture 4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79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104775</xdr:colOff>
      <xdr:row>136</xdr:row>
      <xdr:rowOff>0</xdr:rowOff>
    </xdr:to>
    <xdr:pic>
      <xdr:nvPicPr>
        <xdr:cNvPr id="48" name="Picture 4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104775</xdr:colOff>
      <xdr:row>136</xdr:row>
      <xdr:rowOff>0</xdr:rowOff>
    </xdr:to>
    <xdr:pic>
      <xdr:nvPicPr>
        <xdr:cNvPr id="49" name="Picture 4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104775</xdr:colOff>
      <xdr:row>137</xdr:row>
      <xdr:rowOff>0</xdr:rowOff>
    </xdr:to>
    <xdr:pic>
      <xdr:nvPicPr>
        <xdr:cNvPr id="50" name="Picture 5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21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104775</xdr:colOff>
      <xdr:row>138</xdr:row>
      <xdr:rowOff>0</xdr:rowOff>
    </xdr:to>
    <xdr:pic>
      <xdr:nvPicPr>
        <xdr:cNvPr id="51" name="Picture 5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104775</xdr:colOff>
      <xdr:row>139</xdr:row>
      <xdr:rowOff>0</xdr:rowOff>
    </xdr:to>
    <xdr:pic>
      <xdr:nvPicPr>
        <xdr:cNvPr id="52" name="Picture 5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45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104775</xdr:colOff>
      <xdr:row>139</xdr:row>
      <xdr:rowOff>0</xdr:rowOff>
    </xdr:to>
    <xdr:pic>
      <xdr:nvPicPr>
        <xdr:cNvPr id="53" name="Picture 5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45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141</xdr:row>
      <xdr:rowOff>0</xdr:rowOff>
    </xdr:to>
    <xdr:pic>
      <xdr:nvPicPr>
        <xdr:cNvPr id="54" name="Picture 5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95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141</xdr:row>
      <xdr:rowOff>0</xdr:rowOff>
    </xdr:to>
    <xdr:pic>
      <xdr:nvPicPr>
        <xdr:cNvPr id="55" name="Picture 5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95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104775</xdr:colOff>
      <xdr:row>115</xdr:row>
      <xdr:rowOff>0</xdr:rowOff>
    </xdr:to>
    <xdr:pic>
      <xdr:nvPicPr>
        <xdr:cNvPr id="56" name="Picture 5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59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104775</xdr:colOff>
      <xdr:row>115</xdr:row>
      <xdr:rowOff>0</xdr:rowOff>
    </xdr:to>
    <xdr:pic>
      <xdr:nvPicPr>
        <xdr:cNvPr id="57" name="Picture 5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59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31</xdr:row>
      <xdr:rowOff>0</xdr:rowOff>
    </xdr:to>
    <xdr:pic>
      <xdr:nvPicPr>
        <xdr:cNvPr id="58" name="Picture 5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31</xdr:row>
      <xdr:rowOff>0</xdr:rowOff>
    </xdr:to>
    <xdr:pic>
      <xdr:nvPicPr>
        <xdr:cNvPr id="59" name="Picture 5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104775</xdr:colOff>
      <xdr:row>134</xdr:row>
      <xdr:rowOff>0</xdr:rowOff>
    </xdr:to>
    <xdr:pic>
      <xdr:nvPicPr>
        <xdr:cNvPr id="60" name="Picture 6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360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104775</xdr:colOff>
      <xdr:row>135</xdr:row>
      <xdr:rowOff>0</xdr:rowOff>
    </xdr:to>
    <xdr:pic>
      <xdr:nvPicPr>
        <xdr:cNvPr id="61" name="Picture 6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79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104775</xdr:colOff>
      <xdr:row>136</xdr:row>
      <xdr:rowOff>0</xdr:rowOff>
    </xdr:to>
    <xdr:pic>
      <xdr:nvPicPr>
        <xdr:cNvPr id="62" name="Picture 6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599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104775</xdr:colOff>
      <xdr:row>137</xdr:row>
      <xdr:rowOff>0</xdr:rowOff>
    </xdr:to>
    <xdr:pic>
      <xdr:nvPicPr>
        <xdr:cNvPr id="63" name="Picture 6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218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104775</xdr:colOff>
      <xdr:row>138</xdr:row>
      <xdr:rowOff>0</xdr:rowOff>
    </xdr:to>
    <xdr:pic>
      <xdr:nvPicPr>
        <xdr:cNvPr id="64" name="Picture 6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83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104775</xdr:colOff>
      <xdr:row>139</xdr:row>
      <xdr:rowOff>0</xdr:rowOff>
    </xdr:to>
    <xdr:pic>
      <xdr:nvPicPr>
        <xdr:cNvPr id="65" name="Picture 6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456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104775</xdr:colOff>
      <xdr:row>140</xdr:row>
      <xdr:rowOff>0</xdr:rowOff>
    </xdr:to>
    <xdr:pic>
      <xdr:nvPicPr>
        <xdr:cNvPr id="66" name="Picture 6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07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104775</xdr:colOff>
      <xdr:row>141</xdr:row>
      <xdr:rowOff>0</xdr:rowOff>
    </xdr:to>
    <xdr:pic>
      <xdr:nvPicPr>
        <xdr:cNvPr id="67" name="Picture 6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95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104775</xdr:colOff>
      <xdr:row>115</xdr:row>
      <xdr:rowOff>0</xdr:rowOff>
    </xdr:to>
    <xdr:pic>
      <xdr:nvPicPr>
        <xdr:cNvPr id="68" name="Picture 6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59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104775</xdr:colOff>
      <xdr:row>117</xdr:row>
      <xdr:rowOff>0</xdr:rowOff>
    </xdr:to>
    <xdr:pic>
      <xdr:nvPicPr>
        <xdr:cNvPr id="69" name="Picture 7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833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41</xdr:row>
      <xdr:rowOff>0</xdr:rowOff>
    </xdr:to>
    <xdr:pic>
      <xdr:nvPicPr>
        <xdr:cNvPr id="70" name="Picture 7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48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104775</xdr:colOff>
      <xdr:row>42</xdr:row>
      <xdr:rowOff>0</xdr:rowOff>
    </xdr:to>
    <xdr:pic>
      <xdr:nvPicPr>
        <xdr:cNvPr id="71" name="Picture 7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0</xdr:rowOff>
    </xdr:to>
    <xdr:pic>
      <xdr:nvPicPr>
        <xdr:cNvPr id="72" name="Picture 7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104775</xdr:colOff>
      <xdr:row>44</xdr:row>
      <xdr:rowOff>0</xdr:rowOff>
    </xdr:to>
    <xdr:pic>
      <xdr:nvPicPr>
        <xdr:cNvPr id="73" name="Picture 7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41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104775</xdr:colOff>
      <xdr:row>25</xdr:row>
      <xdr:rowOff>0</xdr:rowOff>
    </xdr:to>
    <xdr:pic>
      <xdr:nvPicPr>
        <xdr:cNvPr id="74" name="Picture 77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0</xdr:rowOff>
    </xdr:to>
    <xdr:pic>
      <xdr:nvPicPr>
        <xdr:cNvPr id="75" name="Picture 78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0</xdr:rowOff>
    </xdr:to>
    <xdr:pic>
      <xdr:nvPicPr>
        <xdr:cNvPr id="76" name="Picture 79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104775</xdr:colOff>
      <xdr:row>45</xdr:row>
      <xdr:rowOff>0</xdr:rowOff>
    </xdr:to>
    <xdr:pic>
      <xdr:nvPicPr>
        <xdr:cNvPr id="77" name="Picture 80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104775</xdr:colOff>
      <xdr:row>45</xdr:row>
      <xdr:rowOff>0</xdr:rowOff>
    </xdr:to>
    <xdr:pic>
      <xdr:nvPicPr>
        <xdr:cNvPr id="78" name="Picture 81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104775</xdr:colOff>
      <xdr:row>45</xdr:row>
      <xdr:rowOff>0</xdr:rowOff>
    </xdr:to>
    <xdr:pic>
      <xdr:nvPicPr>
        <xdr:cNvPr id="79" name="Picture 82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104775</xdr:colOff>
      <xdr:row>45</xdr:row>
      <xdr:rowOff>0</xdr:rowOff>
    </xdr:to>
    <xdr:pic>
      <xdr:nvPicPr>
        <xdr:cNvPr id="80" name="Picture 83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0</xdr:rowOff>
    </xdr:to>
    <xdr:pic>
      <xdr:nvPicPr>
        <xdr:cNvPr id="81" name="Picture 84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433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29</xdr:row>
      <xdr:rowOff>0</xdr:rowOff>
    </xdr:to>
    <xdr:pic>
      <xdr:nvPicPr>
        <xdr:cNvPr id="82" name="Picture 85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30</xdr:row>
      <xdr:rowOff>0</xdr:rowOff>
    </xdr:to>
    <xdr:pic>
      <xdr:nvPicPr>
        <xdr:cNvPr id="83" name="Picture 86" descr="clear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eere.com/en_US/ProductCatalog/GC/servlet/servlet/com.deere.u90785.cce.productcatalog.view.servlets.PublicationsSearchServlet?tM=GC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53" customWidth="1"/>
    <col min="2" max="2" width="27.7109375" style="140" customWidth="1"/>
    <col min="3" max="3" width="2.7109375" style="53" customWidth="1"/>
    <col min="4" max="4" width="27.7109375" style="140" customWidth="1"/>
    <col min="5" max="5" width="2.7109375" style="53" customWidth="1"/>
    <col min="6" max="6" width="27.7109375" style="140" customWidth="1"/>
    <col min="7" max="7" width="2.7109375" style="53" customWidth="1"/>
    <col min="8" max="16384" width="9.140625" style="53" customWidth="1"/>
  </cols>
  <sheetData>
    <row r="1" spans="2:6" ht="16.5" thickBot="1">
      <c r="B1" s="402" t="s">
        <v>250</v>
      </c>
      <c r="C1" s="403"/>
      <c r="D1" s="403"/>
      <c r="E1" s="403"/>
      <c r="F1" s="404"/>
    </row>
    <row r="2" spans="2:6" ht="12.75">
      <c r="B2" s="405" t="s">
        <v>251</v>
      </c>
      <c r="C2" s="405"/>
      <c r="D2" s="405"/>
      <c r="E2" s="405"/>
      <c r="F2" s="405"/>
    </row>
    <row r="3" spans="2:6" ht="70.5" customHeight="1">
      <c r="B3" s="406" t="s">
        <v>476</v>
      </c>
      <c r="C3" s="406"/>
      <c r="D3" s="406"/>
      <c r="E3" s="406"/>
      <c r="F3" s="406"/>
    </row>
    <row r="4" spans="2:6" ht="12.75">
      <c r="B4" s="407" t="s">
        <v>252</v>
      </c>
      <c r="C4" s="407"/>
      <c r="D4" s="407"/>
      <c r="E4" s="407"/>
      <c r="F4" s="407"/>
    </row>
    <row r="5" spans="2:6" ht="12.75">
      <c r="B5" s="178"/>
      <c r="C5" s="178"/>
      <c r="D5" s="178"/>
      <c r="E5" s="178"/>
      <c r="F5" s="178"/>
    </row>
    <row r="6" spans="1:6" ht="12.75">
      <c r="A6" s="53">
        <v>1</v>
      </c>
      <c r="B6" s="408" t="s">
        <v>253</v>
      </c>
      <c r="C6" s="408"/>
      <c r="D6" s="408"/>
      <c r="E6" s="408"/>
      <c r="F6" s="408"/>
    </row>
    <row r="7" ht="12.75">
      <c r="B7" s="141" t="s">
        <v>254</v>
      </c>
    </row>
    <row r="8" spans="2:6" ht="12.75">
      <c r="B8" s="408" t="s">
        <v>255</v>
      </c>
      <c r="C8" s="408"/>
      <c r="D8" s="408"/>
      <c r="E8" s="408"/>
      <c r="F8" s="408"/>
    </row>
    <row r="9" spans="2:6" ht="12.75">
      <c r="B9" s="141"/>
      <c r="C9" s="141"/>
      <c r="D9" s="141"/>
      <c r="E9" s="141"/>
      <c r="F9" s="141"/>
    </row>
    <row r="10" spans="1:6" ht="12.75">
      <c r="A10" s="53">
        <v>2</v>
      </c>
      <c r="B10" s="408" t="s">
        <v>277</v>
      </c>
      <c r="C10" s="408"/>
      <c r="D10" s="408"/>
      <c r="E10" s="408"/>
      <c r="F10" s="408"/>
    </row>
    <row r="11" spans="2:6" ht="12.75">
      <c r="B11" s="409"/>
      <c r="C11" s="409"/>
      <c r="D11" s="409"/>
      <c r="E11" s="409"/>
      <c r="F11" s="409"/>
    </row>
    <row r="12" spans="1:6" ht="12.75">
      <c r="A12" s="53">
        <v>3</v>
      </c>
      <c r="B12" s="408" t="s">
        <v>276</v>
      </c>
      <c r="C12" s="408"/>
      <c r="D12" s="408"/>
      <c r="E12" s="408"/>
      <c r="F12" s="408"/>
    </row>
    <row r="13" spans="2:6" ht="12.75">
      <c r="B13" s="409"/>
      <c r="C13" s="409"/>
      <c r="D13" s="409"/>
      <c r="E13" s="409"/>
      <c r="F13" s="409"/>
    </row>
    <row r="14" spans="1:6" ht="12.75">
      <c r="A14" s="53">
        <v>4</v>
      </c>
      <c r="B14" s="409" t="s">
        <v>475</v>
      </c>
      <c r="C14" s="409"/>
      <c r="D14" s="409"/>
      <c r="E14" s="409"/>
      <c r="F14" s="409"/>
    </row>
    <row r="15" spans="2:6" ht="12.75">
      <c r="B15" s="141" t="s">
        <v>424</v>
      </c>
      <c r="C15" s="317"/>
      <c r="D15" s="317"/>
      <c r="E15" s="317"/>
      <c r="F15" s="317"/>
    </row>
    <row r="16" spans="2:6" ht="12.75">
      <c r="B16" s="141" t="s">
        <v>474</v>
      </c>
      <c r="C16" s="317"/>
      <c r="D16" s="317"/>
      <c r="E16" s="317"/>
      <c r="F16" s="317"/>
    </row>
    <row r="17" spans="2:6" ht="12.75">
      <c r="B17" s="141" t="s">
        <v>472</v>
      </c>
      <c r="C17" s="317"/>
      <c r="D17" s="317"/>
      <c r="E17" s="317"/>
      <c r="F17" s="317"/>
    </row>
    <row r="18" spans="2:6" ht="12.75">
      <c r="B18" s="141" t="s">
        <v>450</v>
      </c>
      <c r="C18" s="317"/>
      <c r="D18" s="317"/>
      <c r="E18" s="317"/>
      <c r="F18" s="317"/>
    </row>
    <row r="19" spans="2:6" ht="12.75">
      <c r="B19" s="317"/>
      <c r="C19" s="317"/>
      <c r="D19" s="317"/>
      <c r="E19" s="317"/>
      <c r="F19" s="317"/>
    </row>
    <row r="20" spans="1:6" ht="25.5" customHeight="1">
      <c r="A20" s="177">
        <v>5</v>
      </c>
      <c r="B20" s="409" t="s">
        <v>477</v>
      </c>
      <c r="C20" s="409"/>
      <c r="D20" s="409"/>
      <c r="E20" s="409"/>
      <c r="F20" s="409"/>
    </row>
    <row r="21" spans="2:6" ht="12.75">
      <c r="B21" s="409"/>
      <c r="C21" s="409"/>
      <c r="D21" s="409"/>
      <c r="E21" s="409"/>
      <c r="F21" s="409"/>
    </row>
    <row r="22" spans="2:6" ht="25.5" customHeight="1">
      <c r="B22" s="409" t="s">
        <v>473</v>
      </c>
      <c r="C22" s="409"/>
      <c r="D22" s="409"/>
      <c r="E22" s="409"/>
      <c r="F22" s="409"/>
    </row>
    <row r="23" spans="2:6" ht="12.75">
      <c r="B23" s="409"/>
      <c r="C23" s="409"/>
      <c r="D23" s="409"/>
      <c r="E23" s="409"/>
      <c r="F23" s="409"/>
    </row>
    <row r="24" spans="2:6" ht="13.5" thickBot="1">
      <c r="B24" s="409" t="s">
        <v>70</v>
      </c>
      <c r="C24" s="409"/>
      <c r="D24" s="409"/>
      <c r="E24" s="409"/>
      <c r="F24" s="409"/>
    </row>
    <row r="25" spans="1:6" ht="16.5" thickBot="1">
      <c r="A25" s="142"/>
      <c r="B25" s="410" t="s">
        <v>256</v>
      </c>
      <c r="C25" s="411"/>
      <c r="D25" s="411"/>
      <c r="E25" s="411"/>
      <c r="F25" s="412"/>
    </row>
    <row r="26" spans="2:6" ht="16.5" thickBot="1">
      <c r="B26" s="280">
        <v>2305</v>
      </c>
      <c r="C26" s="143"/>
      <c r="D26" s="280">
        <v>3005</v>
      </c>
      <c r="E26" s="143"/>
      <c r="F26" s="280">
        <v>4005</v>
      </c>
    </row>
    <row r="27" spans="2:6" ht="16.5" thickBot="1">
      <c r="B27" s="280">
        <v>2320</v>
      </c>
      <c r="C27" s="144"/>
      <c r="D27" s="280" t="s">
        <v>257</v>
      </c>
      <c r="E27" s="144"/>
      <c r="F27" s="280">
        <v>4120</v>
      </c>
    </row>
    <row r="28" spans="2:6" ht="16.5" thickBot="1">
      <c r="B28" s="280">
        <v>2520</v>
      </c>
      <c r="C28" s="144"/>
      <c r="D28" s="280" t="s">
        <v>258</v>
      </c>
      <c r="E28" s="144"/>
      <c r="F28" s="280">
        <v>4320</v>
      </c>
    </row>
    <row r="29" spans="2:6" ht="16.5" thickBot="1">
      <c r="B29" s="280">
        <v>2720</v>
      </c>
      <c r="C29" s="144"/>
      <c r="D29" s="280">
        <v>3320</v>
      </c>
      <c r="E29" s="144"/>
      <c r="F29" s="280">
        <v>4520</v>
      </c>
    </row>
    <row r="30" spans="2:6" ht="16.5" thickBot="1">
      <c r="B30" s="231"/>
      <c r="C30" s="144"/>
      <c r="D30" s="280">
        <v>3520</v>
      </c>
      <c r="E30" s="144"/>
      <c r="F30" s="280">
        <v>4720</v>
      </c>
    </row>
    <row r="31" spans="2:6" ht="16.5" thickBot="1">
      <c r="B31" s="232"/>
      <c r="C31" s="146"/>
      <c r="D31" s="280">
        <v>3720</v>
      </c>
      <c r="E31" s="146"/>
      <c r="F31" s="145"/>
    </row>
    <row r="33" ht="13.5" thickBot="1"/>
    <row r="34" ht="16.5" thickBot="1">
      <c r="B34" s="145" t="s">
        <v>260</v>
      </c>
    </row>
    <row r="35" ht="4.5" customHeight="1" thickBot="1">
      <c r="B35" s="281"/>
    </row>
    <row r="36" ht="13.5" thickBot="1">
      <c r="B36" s="279" t="s">
        <v>259</v>
      </c>
    </row>
    <row r="37" ht="4.5" customHeight="1" thickBot="1">
      <c r="B37" s="313"/>
    </row>
    <row r="38" ht="13.5" thickBot="1">
      <c r="B38" s="279" t="s">
        <v>449</v>
      </c>
    </row>
    <row r="39" ht="12.75">
      <c r="B39" s="314"/>
    </row>
  </sheetData>
  <sheetProtection selectLockedCells="1"/>
  <mergeCells count="17">
    <mergeCell ref="B14:F14"/>
    <mergeCell ref="B11:F11"/>
    <mergeCell ref="B10:F10"/>
    <mergeCell ref="B25:F25"/>
    <mergeCell ref="B20:F20"/>
    <mergeCell ref="B21:F21"/>
    <mergeCell ref="B22:F22"/>
    <mergeCell ref="B23:F23"/>
    <mergeCell ref="B12:F12"/>
    <mergeCell ref="B24:F24"/>
    <mergeCell ref="B13:F13"/>
    <mergeCell ref="B1:F1"/>
    <mergeCell ref="B2:F2"/>
    <mergeCell ref="B3:F3"/>
    <mergeCell ref="B4:F4"/>
    <mergeCell ref="B6:F6"/>
    <mergeCell ref="B8:F8"/>
  </mergeCells>
  <hyperlinks>
    <hyperlink ref="B26" location="'2305'!A1" display="'2305'!A1"/>
    <hyperlink ref="B36" location="Attachment!A1" display="Attachment Compatibility"/>
    <hyperlink ref="B27:B29" location="'2x20'!A1" display="'2x20'!A1"/>
    <hyperlink ref="D26" location="'3005'!A1" display="'3005'!A1"/>
    <hyperlink ref="D27:D28" location="'3E'!A1" display="3032E"/>
    <hyperlink ref="D29:D31" location="'3X20'!A1" display="'3X20'!A1"/>
    <hyperlink ref="F26" location="'4005'!A1" display="'4005'!A1"/>
    <hyperlink ref="F27:F30" location="'4X20'!A1" display="'4X20'!A1"/>
    <hyperlink ref="B38" r:id="rId1" display="Operator's Manual Search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" sqref="G2"/>
    </sheetView>
  </sheetViews>
  <sheetFormatPr defaultColWidth="9.140625" defaultRowHeight="12.75"/>
  <cols>
    <col min="1" max="1" width="12.28125" style="0" bestFit="1" customWidth="1"/>
    <col min="2" max="2" width="12.28125" style="0" customWidth="1"/>
    <col min="3" max="3" width="15.7109375" style="0" bestFit="1" customWidth="1"/>
    <col min="4" max="4" width="12.140625" style="0" bestFit="1" customWidth="1"/>
    <col min="5" max="5" width="11.7109375" style="0" bestFit="1" customWidth="1"/>
    <col min="6" max="6" width="13.57421875" style="0" bestFit="1" customWidth="1"/>
    <col min="7" max="7" width="31.140625" style="0" bestFit="1" customWidth="1"/>
    <col min="8" max="8" width="6.7109375" style="0" bestFit="1" customWidth="1"/>
    <col min="9" max="9" width="4.8515625" style="0" bestFit="1" customWidth="1"/>
    <col min="10" max="10" width="19.00390625" style="0" bestFit="1" customWidth="1"/>
    <col min="11" max="11" width="17.28125" style="0" bestFit="1" customWidth="1"/>
    <col min="12" max="12" width="5.00390625" style="0" bestFit="1" customWidth="1"/>
    <col min="13" max="17" width="9.140625" style="25" customWidth="1"/>
  </cols>
  <sheetData>
    <row r="1" spans="1:17" s="9" customFormat="1" ht="13.5" thickBot="1">
      <c r="A1" s="57" t="s">
        <v>120</v>
      </c>
      <c r="B1" s="84" t="s">
        <v>132</v>
      </c>
      <c r="C1" s="58" t="s">
        <v>121</v>
      </c>
      <c r="D1" s="58" t="s">
        <v>122</v>
      </c>
      <c r="E1" s="58" t="s">
        <v>123</v>
      </c>
      <c r="F1" s="59" t="s">
        <v>124</v>
      </c>
      <c r="G1" s="59" t="s">
        <v>125</v>
      </c>
      <c r="H1" s="60" t="s">
        <v>126</v>
      </c>
      <c r="I1" s="60" t="s">
        <v>1</v>
      </c>
      <c r="J1" s="58" t="s">
        <v>127</v>
      </c>
      <c r="K1" s="61" t="s">
        <v>128</v>
      </c>
      <c r="L1" s="61" t="s">
        <v>455</v>
      </c>
      <c r="M1" s="25"/>
      <c r="N1" s="25"/>
      <c r="O1" s="25"/>
      <c r="P1" s="25"/>
      <c r="Q1" s="25"/>
    </row>
    <row r="2" spans="1:17" s="9" customFormat="1" ht="12.75">
      <c r="A2" s="8">
        <v>2305</v>
      </c>
      <c r="B2" s="8">
        <v>24</v>
      </c>
      <c r="C2" s="62">
        <v>1307.68</v>
      </c>
      <c r="D2" s="62">
        <v>607.12</v>
      </c>
      <c r="E2" s="62">
        <v>700.56</v>
      </c>
      <c r="F2" s="63">
        <v>57.1</v>
      </c>
      <c r="G2" s="63">
        <f>F2*(D2/C2)</f>
        <v>26.50996574085403</v>
      </c>
      <c r="H2" s="64">
        <f>G2/F2</f>
        <v>0.46427260491863453</v>
      </c>
      <c r="I2" s="64">
        <f>1-H2</f>
        <v>0.5357273950813655</v>
      </c>
      <c r="J2" s="8">
        <v>-30.5</v>
      </c>
      <c r="K2" s="8">
        <v>71.5</v>
      </c>
      <c r="L2" s="8">
        <v>4</v>
      </c>
      <c r="M2" s="25"/>
      <c r="N2" s="25"/>
      <c r="O2" s="25"/>
      <c r="P2" s="25"/>
      <c r="Q2" s="25"/>
    </row>
    <row r="3" spans="1:17" s="9" customFormat="1" ht="12.75">
      <c r="A3" s="9">
        <v>2320</v>
      </c>
      <c r="B3" s="9">
        <v>24</v>
      </c>
      <c r="C3" s="65">
        <v>1445.86</v>
      </c>
      <c r="D3" s="65">
        <v>653.88</v>
      </c>
      <c r="E3" s="65">
        <v>791.98</v>
      </c>
      <c r="F3" s="66">
        <v>63</v>
      </c>
      <c r="G3" s="66">
        <f aca="true" t="shared" si="0" ref="G3:G15">F3*(D3/C3)</f>
        <v>28.49130621221972</v>
      </c>
      <c r="H3" s="67">
        <f aca="true" t="shared" si="1" ref="H3:H15">G3/F3</f>
        <v>0.45224295574951934</v>
      </c>
      <c r="I3" s="67">
        <f aca="true" t="shared" si="2" ref="I3:I15">1-H3</f>
        <v>0.5477570442504807</v>
      </c>
      <c r="J3" s="9">
        <v>-30.5</v>
      </c>
      <c r="K3" s="9">
        <v>78</v>
      </c>
      <c r="L3" s="9">
        <v>5</v>
      </c>
      <c r="M3" s="25"/>
      <c r="N3" s="25"/>
      <c r="O3" s="25"/>
      <c r="P3" s="25"/>
      <c r="Q3" s="25"/>
    </row>
    <row r="4" spans="1:17" s="9" customFormat="1" ht="12.75">
      <c r="A4" s="9">
        <v>2520</v>
      </c>
      <c r="B4" s="9">
        <v>26.5</v>
      </c>
      <c r="C4" s="65">
        <v>1586.08</v>
      </c>
      <c r="D4" s="65">
        <v>741.28</v>
      </c>
      <c r="E4" s="65">
        <v>844.8</v>
      </c>
      <c r="F4" s="66">
        <v>65.2</v>
      </c>
      <c r="G4" s="66">
        <f t="shared" si="0"/>
        <v>30.472268738020784</v>
      </c>
      <c r="H4" s="67">
        <f t="shared" si="1"/>
        <v>0.46736608493896903</v>
      </c>
      <c r="I4" s="67">
        <f t="shared" si="2"/>
        <v>0.532633915061031</v>
      </c>
      <c r="J4" s="9">
        <v>-27.5</v>
      </c>
      <c r="K4" s="9">
        <v>81</v>
      </c>
      <c r="L4" s="9">
        <v>7</v>
      </c>
      <c r="M4" s="25"/>
      <c r="N4" s="25"/>
      <c r="O4" s="25"/>
      <c r="P4" s="25"/>
      <c r="Q4" s="25"/>
    </row>
    <row r="5" spans="1:17" s="9" customFormat="1" ht="12.75">
      <c r="A5" s="9">
        <v>2720</v>
      </c>
      <c r="B5" s="9">
        <v>31</v>
      </c>
      <c r="C5" s="65">
        <v>1664.94</v>
      </c>
      <c r="D5" s="68">
        <v>814.94</v>
      </c>
      <c r="E5" s="68">
        <v>850</v>
      </c>
      <c r="F5" s="66">
        <v>65.2</v>
      </c>
      <c r="G5" s="66">
        <f>F5*(D5/C5)</f>
        <v>31.913515201749014</v>
      </c>
      <c r="H5" s="67">
        <f t="shared" si="1"/>
        <v>0.48947109205136524</v>
      </c>
      <c r="I5" s="67">
        <f t="shared" si="2"/>
        <v>0.5105289079486348</v>
      </c>
      <c r="J5" s="9">
        <v>-27.5</v>
      </c>
      <c r="K5" s="9">
        <v>81</v>
      </c>
      <c r="L5" s="9">
        <v>7</v>
      </c>
      <c r="M5" s="25"/>
      <c r="N5" s="25"/>
      <c r="O5" s="25"/>
      <c r="P5" s="25"/>
      <c r="Q5" s="25"/>
    </row>
    <row r="6" spans="1:17" s="9" customFormat="1" ht="12.75">
      <c r="A6" s="9" t="s">
        <v>257</v>
      </c>
      <c r="B6" s="9">
        <v>31.4</v>
      </c>
      <c r="C6" s="65">
        <v>1708.0602041275122</v>
      </c>
      <c r="D6" s="65">
        <v>830.1544660761656</v>
      </c>
      <c r="E6" s="65">
        <v>877.9057380513466</v>
      </c>
      <c r="F6" s="66">
        <v>60</v>
      </c>
      <c r="G6" s="66">
        <f>F6*(D6/C6)</f>
        <v>29.161306986841733</v>
      </c>
      <c r="H6" s="67">
        <f t="shared" si="1"/>
        <v>0.4860217831140289</v>
      </c>
      <c r="I6" s="67">
        <f t="shared" si="2"/>
        <v>0.5139782168859711</v>
      </c>
      <c r="J6" s="9">
        <v>-31.78</v>
      </c>
      <c r="K6" s="9">
        <v>80.22</v>
      </c>
      <c r="L6" s="9">
        <v>7.87</v>
      </c>
      <c r="M6" s="25"/>
      <c r="N6" s="25"/>
      <c r="O6" s="25"/>
      <c r="P6" s="25"/>
      <c r="Q6" s="25"/>
    </row>
    <row r="7" spans="1:17" s="9" customFormat="1" ht="12.75">
      <c r="A7" s="9" t="s">
        <v>258</v>
      </c>
      <c r="B7" s="9">
        <v>37.1</v>
      </c>
      <c r="C7" s="65">
        <v>1708.0602041275122</v>
      </c>
      <c r="D7" s="65">
        <v>830.1544660761656</v>
      </c>
      <c r="E7" s="65">
        <v>877.9057380513466</v>
      </c>
      <c r="F7" s="66">
        <v>60</v>
      </c>
      <c r="G7" s="66">
        <f>F7*(D7/C7)</f>
        <v>29.161306986841733</v>
      </c>
      <c r="H7" s="67">
        <f t="shared" si="1"/>
        <v>0.4860217831140289</v>
      </c>
      <c r="I7" s="67">
        <f t="shared" si="2"/>
        <v>0.5139782168859711</v>
      </c>
      <c r="J7" s="9">
        <v>-31.78</v>
      </c>
      <c r="K7" s="9">
        <v>80.22</v>
      </c>
      <c r="L7" s="9">
        <v>7.87</v>
      </c>
      <c r="M7" s="25"/>
      <c r="N7" s="25"/>
      <c r="O7" s="25"/>
      <c r="P7" s="25"/>
      <c r="Q7" s="25"/>
    </row>
    <row r="8" spans="1:17" s="9" customFormat="1" ht="12.75">
      <c r="A8" s="9">
        <v>3320</v>
      </c>
      <c r="B8" s="9">
        <v>32.5</v>
      </c>
      <c r="C8" s="65">
        <v>2481.4</v>
      </c>
      <c r="D8" s="65">
        <v>1179.06</v>
      </c>
      <c r="E8" s="65">
        <v>1302.34</v>
      </c>
      <c r="F8" s="66">
        <v>68</v>
      </c>
      <c r="G8" s="66">
        <f t="shared" si="0"/>
        <v>32.310824534536955</v>
      </c>
      <c r="H8" s="67">
        <f t="shared" si="1"/>
        <v>0.4751591843314258</v>
      </c>
      <c r="I8" s="67">
        <f t="shared" si="2"/>
        <v>0.5248408156685742</v>
      </c>
      <c r="J8" s="9">
        <v>-31.25</v>
      </c>
      <c r="K8" s="9">
        <v>87.25</v>
      </c>
      <c r="L8" s="9">
        <v>8</v>
      </c>
      <c r="M8" s="25"/>
      <c r="N8" s="25"/>
      <c r="O8" s="25"/>
      <c r="P8" s="25"/>
      <c r="Q8" s="25"/>
    </row>
    <row r="9" spans="1:17" s="9" customFormat="1" ht="12.75">
      <c r="A9" s="9">
        <v>3520</v>
      </c>
      <c r="B9" s="9">
        <v>37</v>
      </c>
      <c r="C9" s="65">
        <v>2481.4</v>
      </c>
      <c r="D9" s="65">
        <v>1179.06</v>
      </c>
      <c r="E9" s="65">
        <v>1302.34</v>
      </c>
      <c r="F9" s="66">
        <v>68</v>
      </c>
      <c r="G9" s="66">
        <f t="shared" si="0"/>
        <v>32.310824534536955</v>
      </c>
      <c r="H9" s="67">
        <f t="shared" si="1"/>
        <v>0.4751591843314258</v>
      </c>
      <c r="I9" s="67">
        <f t="shared" si="2"/>
        <v>0.5248408156685742</v>
      </c>
      <c r="J9" s="9">
        <v>-31.25</v>
      </c>
      <c r="K9" s="9">
        <v>87.25</v>
      </c>
      <c r="L9" s="9">
        <v>8</v>
      </c>
      <c r="M9" s="25"/>
      <c r="N9" s="25"/>
      <c r="O9" s="25"/>
      <c r="P9" s="25"/>
      <c r="Q9" s="25"/>
    </row>
    <row r="10" spans="1:17" s="9" customFormat="1" ht="12.75">
      <c r="A10" s="9">
        <v>3720</v>
      </c>
      <c r="B10" s="9">
        <v>44</v>
      </c>
      <c r="C10" s="65">
        <v>2481.4</v>
      </c>
      <c r="D10" s="65">
        <v>1179.06</v>
      </c>
      <c r="E10" s="65">
        <v>1302.34</v>
      </c>
      <c r="F10" s="66">
        <v>68</v>
      </c>
      <c r="G10" s="66">
        <f t="shared" si="0"/>
        <v>32.310824534536955</v>
      </c>
      <c r="H10" s="67">
        <f t="shared" si="1"/>
        <v>0.4751591843314258</v>
      </c>
      <c r="I10" s="67">
        <f t="shared" si="2"/>
        <v>0.5248408156685742</v>
      </c>
      <c r="J10" s="9">
        <v>-31.25</v>
      </c>
      <c r="K10" s="9">
        <v>87.25</v>
      </c>
      <c r="L10" s="9">
        <v>8</v>
      </c>
      <c r="M10" s="25"/>
      <c r="N10" s="25"/>
      <c r="O10" s="25"/>
      <c r="P10" s="25"/>
      <c r="Q10" s="25"/>
    </row>
    <row r="11" spans="1:17" s="69" customFormat="1" ht="12.75">
      <c r="A11" s="69" t="s">
        <v>330</v>
      </c>
      <c r="B11" s="69">
        <v>27</v>
      </c>
      <c r="C11" s="70">
        <v>1881.56</v>
      </c>
      <c r="D11" s="70">
        <v>795.68</v>
      </c>
      <c r="E11" s="70">
        <v>1085.88</v>
      </c>
      <c r="F11" s="71">
        <v>60.4</v>
      </c>
      <c r="G11" s="71">
        <f>F11*(D11/C11)</f>
        <v>25.54214162716044</v>
      </c>
      <c r="H11" s="72">
        <f>G11/F11</f>
        <v>0.4228831395225239</v>
      </c>
      <c r="I11" s="72">
        <f>1-H11</f>
        <v>0.5771168604774761</v>
      </c>
      <c r="J11" s="69">
        <v>-33</v>
      </c>
      <c r="K11" s="69">
        <v>73.5</v>
      </c>
      <c r="L11" s="69">
        <v>4</v>
      </c>
      <c r="M11" s="25"/>
      <c r="N11" s="25"/>
      <c r="O11" s="25"/>
      <c r="P11" s="25"/>
      <c r="Q11" s="25"/>
    </row>
    <row r="12" spans="1:17" s="69" customFormat="1" ht="12.75">
      <c r="A12" s="69" t="s">
        <v>129</v>
      </c>
      <c r="B12" s="69">
        <v>27</v>
      </c>
      <c r="C12" s="70">
        <v>1741.56</v>
      </c>
      <c r="D12" s="70">
        <v>700.68</v>
      </c>
      <c r="E12" s="70">
        <v>1040.88</v>
      </c>
      <c r="F12" s="71">
        <v>60.4</v>
      </c>
      <c r="G12" s="71">
        <f>F12*(D12/C12)</f>
        <v>24.30066836629229</v>
      </c>
      <c r="H12" s="72">
        <f>G12/F12</f>
        <v>0.40232894646179285</v>
      </c>
      <c r="I12" s="72">
        <f>1-H12</f>
        <v>0.5976710535382072</v>
      </c>
      <c r="J12" s="69">
        <v>-33</v>
      </c>
      <c r="K12" s="69">
        <v>73.5</v>
      </c>
      <c r="L12" s="69">
        <v>4</v>
      </c>
      <c r="M12" s="25"/>
      <c r="N12" s="25"/>
      <c r="O12" s="25"/>
      <c r="P12" s="25"/>
      <c r="Q12" s="25"/>
    </row>
    <row r="13" spans="1:17" s="69" customFormat="1" ht="12.75">
      <c r="A13" s="69" t="s">
        <v>331</v>
      </c>
      <c r="B13" s="69">
        <v>40.4</v>
      </c>
      <c r="C13" s="70">
        <v>2600.5</v>
      </c>
      <c r="D13" s="70">
        <v>1181.38</v>
      </c>
      <c r="E13" s="70">
        <v>1419.12</v>
      </c>
      <c r="F13" s="71">
        <v>68.9</v>
      </c>
      <c r="G13" s="71">
        <f t="shared" si="0"/>
        <v>31.300550663333983</v>
      </c>
      <c r="H13" s="72">
        <f t="shared" si="1"/>
        <v>0.45428955970005774</v>
      </c>
      <c r="I13" s="72">
        <f t="shared" si="2"/>
        <v>0.5457104402999422</v>
      </c>
      <c r="J13" s="69">
        <v>-35.25</v>
      </c>
      <c r="K13" s="69">
        <v>82</v>
      </c>
      <c r="L13" s="69">
        <v>10</v>
      </c>
      <c r="M13" s="25"/>
      <c r="N13" s="25"/>
      <c r="O13" s="25"/>
      <c r="P13" s="25"/>
      <c r="Q13" s="25"/>
    </row>
    <row r="14" spans="1:17" s="69" customFormat="1" ht="12.75">
      <c r="A14" s="69" t="s">
        <v>130</v>
      </c>
      <c r="B14" s="69">
        <v>40.4</v>
      </c>
      <c r="C14" s="70">
        <v>2359</v>
      </c>
      <c r="D14" s="70">
        <v>975</v>
      </c>
      <c r="E14" s="70">
        <v>1384</v>
      </c>
      <c r="F14" s="71">
        <v>68.9</v>
      </c>
      <c r="G14" s="71">
        <f t="shared" si="0"/>
        <v>28.477108944467997</v>
      </c>
      <c r="H14" s="72">
        <f t="shared" si="1"/>
        <v>0.4133107248834252</v>
      </c>
      <c r="I14" s="72">
        <f t="shared" si="2"/>
        <v>0.5866892751165749</v>
      </c>
      <c r="J14" s="69">
        <v>-35.25</v>
      </c>
      <c r="K14" s="69">
        <v>82</v>
      </c>
      <c r="L14" s="69">
        <v>10</v>
      </c>
      <c r="M14" s="25"/>
      <c r="N14" s="25"/>
      <c r="O14" s="25"/>
      <c r="P14" s="25"/>
      <c r="Q14" s="25"/>
    </row>
    <row r="15" spans="1:17" s="69" customFormat="1" ht="12.75">
      <c r="A15" s="69">
        <v>4105</v>
      </c>
      <c r="B15" s="69">
        <v>40.4</v>
      </c>
      <c r="C15" s="70">
        <v>2410.5</v>
      </c>
      <c r="D15" s="70">
        <v>1181.38</v>
      </c>
      <c r="E15" s="70">
        <v>1229.12</v>
      </c>
      <c r="F15" s="71">
        <v>68.9</v>
      </c>
      <c r="G15" s="71">
        <f t="shared" si="0"/>
        <v>33.76771707114707</v>
      </c>
      <c r="H15" s="72">
        <f t="shared" si="1"/>
        <v>0.49009749014727233</v>
      </c>
      <c r="I15" s="72">
        <f t="shared" si="2"/>
        <v>0.5099025098527277</v>
      </c>
      <c r="J15" s="69">
        <v>-31.25</v>
      </c>
      <c r="K15" s="69">
        <v>87.375</v>
      </c>
      <c r="L15" s="69">
        <v>7.25</v>
      </c>
      <c r="M15" s="25"/>
      <c r="N15" s="25"/>
      <c r="O15" s="25"/>
      <c r="P15" s="25"/>
      <c r="Q15" s="25"/>
    </row>
    <row r="16" spans="1:17" s="9" customFormat="1" ht="12.75">
      <c r="A16" s="9">
        <v>4120</v>
      </c>
      <c r="B16" s="9">
        <v>43</v>
      </c>
      <c r="C16" s="65">
        <v>3153.621689672227</v>
      </c>
      <c r="D16" s="65">
        <v>1505.5283326610988</v>
      </c>
      <c r="E16" s="65">
        <v>1648.093357011128</v>
      </c>
      <c r="F16" s="65">
        <v>71.5</v>
      </c>
      <c r="G16" s="66">
        <v>34.13385826771654</v>
      </c>
      <c r="H16" s="67">
        <v>0.4773966191289027</v>
      </c>
      <c r="I16" s="67">
        <v>0.5226033808710973</v>
      </c>
      <c r="J16" s="9">
        <v>-33.5</v>
      </c>
      <c r="K16" s="9">
        <v>92</v>
      </c>
      <c r="L16" s="9">
        <v>9</v>
      </c>
      <c r="M16" s="25"/>
      <c r="N16" s="25"/>
      <c r="O16" s="25"/>
      <c r="P16" s="25"/>
      <c r="Q16" s="25"/>
    </row>
    <row r="17" spans="1:17" s="9" customFormat="1" ht="12.75">
      <c r="A17" s="9">
        <v>4320</v>
      </c>
      <c r="B17" s="9">
        <v>48</v>
      </c>
      <c r="C17" s="65">
        <v>3153.621689672227</v>
      </c>
      <c r="D17" s="65">
        <v>1505.5283326610988</v>
      </c>
      <c r="E17" s="65">
        <v>1648.093357011128</v>
      </c>
      <c r="F17" s="65">
        <v>71.5</v>
      </c>
      <c r="G17" s="66">
        <v>34.13385826771654</v>
      </c>
      <c r="H17" s="67">
        <v>0.4773966191289027</v>
      </c>
      <c r="I17" s="67">
        <v>0.5226033808710973</v>
      </c>
      <c r="J17" s="9">
        <v>-33.5</v>
      </c>
      <c r="K17" s="9">
        <v>92</v>
      </c>
      <c r="L17" s="9">
        <v>9</v>
      </c>
      <c r="M17" s="25"/>
      <c r="N17" s="25"/>
      <c r="O17" s="25"/>
      <c r="P17" s="25"/>
      <c r="Q17" s="25"/>
    </row>
    <row r="18" spans="1:17" s="9" customFormat="1" ht="12.75">
      <c r="A18" s="9">
        <v>4520</v>
      </c>
      <c r="B18" s="9">
        <v>60</v>
      </c>
      <c r="C18" s="65">
        <v>3153.621689672227</v>
      </c>
      <c r="D18" s="65">
        <v>1505.5283326610988</v>
      </c>
      <c r="E18" s="65">
        <v>1648.093357011128</v>
      </c>
      <c r="F18" s="65">
        <v>71.5</v>
      </c>
      <c r="G18" s="66">
        <v>34.13385826771654</v>
      </c>
      <c r="H18" s="67">
        <v>0.4773966191289027</v>
      </c>
      <c r="I18" s="67">
        <v>0.5226033808710973</v>
      </c>
      <c r="J18" s="9">
        <v>-33.5</v>
      </c>
      <c r="K18" s="9">
        <v>92</v>
      </c>
      <c r="L18" s="9">
        <v>9</v>
      </c>
      <c r="M18" s="25"/>
      <c r="N18" s="25"/>
      <c r="O18" s="25"/>
      <c r="P18" s="25"/>
      <c r="Q18" s="25"/>
    </row>
    <row r="19" spans="1:17" s="9" customFormat="1" ht="13.5" thickBot="1">
      <c r="A19" s="9">
        <v>4720</v>
      </c>
      <c r="B19" s="9">
        <v>66</v>
      </c>
      <c r="C19" s="65">
        <v>3153.621689672227</v>
      </c>
      <c r="D19" s="65">
        <v>1505.5283326610988</v>
      </c>
      <c r="E19" s="65">
        <v>1648.093357011128</v>
      </c>
      <c r="F19" s="65">
        <v>71.5</v>
      </c>
      <c r="G19" s="66">
        <v>34.13385826771654</v>
      </c>
      <c r="H19" s="67">
        <v>0.4773966191289027</v>
      </c>
      <c r="I19" s="67">
        <v>0.5226033808710973</v>
      </c>
      <c r="J19" s="9">
        <v>-33.5</v>
      </c>
      <c r="K19" s="9">
        <v>92</v>
      </c>
      <c r="L19" s="9">
        <v>9</v>
      </c>
      <c r="M19" s="25"/>
      <c r="N19" s="25"/>
      <c r="O19" s="25"/>
      <c r="P19" s="25"/>
      <c r="Q19" s="25"/>
    </row>
    <row r="20" spans="1:10" s="283" customFormat="1" ht="13.5" thickBot="1">
      <c r="A20" s="282" t="s">
        <v>356</v>
      </c>
      <c r="C20" s="284"/>
      <c r="D20" s="284"/>
      <c r="E20" s="284"/>
      <c r="F20" s="285"/>
      <c r="G20" s="285"/>
      <c r="H20" s="286"/>
      <c r="I20" s="286"/>
      <c r="J20" s="283">
        <f>AVERAGE(J2:J18)</f>
        <v>-31.85647058823529</v>
      </c>
    </row>
    <row r="21" spans="1:17" s="74" customFormat="1" ht="12.75">
      <c r="A21" s="8" t="s">
        <v>358</v>
      </c>
      <c r="B21" s="8"/>
      <c r="C21" s="62">
        <v>0</v>
      </c>
      <c r="D21" s="62">
        <v>0</v>
      </c>
      <c r="E21" s="62">
        <v>0</v>
      </c>
      <c r="F21" s="63"/>
      <c r="G21" s="63"/>
      <c r="H21" s="64"/>
      <c r="I21" s="64"/>
      <c r="J21" s="8"/>
      <c r="K21" s="8"/>
      <c r="L21" s="8"/>
      <c r="M21" s="25"/>
      <c r="N21" s="25"/>
      <c r="O21" s="25"/>
      <c r="P21" s="25"/>
      <c r="Q21" s="25"/>
    </row>
    <row r="22" spans="1:17" s="74" customFormat="1" ht="12.75">
      <c r="A22" s="8" t="s">
        <v>355</v>
      </c>
      <c r="B22" s="8"/>
      <c r="C22" s="62">
        <v>670</v>
      </c>
      <c r="D22" s="62">
        <v>259.1</v>
      </c>
      <c r="E22" s="62">
        <v>410.9</v>
      </c>
      <c r="F22" s="63">
        <v>68</v>
      </c>
      <c r="G22" s="63">
        <v>26.2967164179105</v>
      </c>
      <c r="H22" s="64">
        <v>0.386716417910448</v>
      </c>
      <c r="I22" s="64">
        <v>0.6132835820895524</v>
      </c>
      <c r="J22" s="8"/>
      <c r="K22" s="8"/>
      <c r="L22" s="8"/>
      <c r="M22" s="25"/>
      <c r="N22" s="25"/>
      <c r="O22" s="25"/>
      <c r="P22" s="25"/>
      <c r="Q22" s="25"/>
    </row>
    <row r="23" spans="1:17" s="74" customFormat="1" ht="12.75">
      <c r="A23" s="8"/>
      <c r="B23" s="8"/>
      <c r="C23" s="62"/>
      <c r="D23" s="62"/>
      <c r="E23" s="62"/>
      <c r="F23" s="63"/>
      <c r="G23" s="63"/>
      <c r="H23" s="64"/>
      <c r="I23" s="64"/>
      <c r="J23" s="8"/>
      <c r="K23" s="8"/>
      <c r="L23" s="8"/>
      <c r="M23" s="25"/>
      <c r="N23" s="25"/>
      <c r="O23" s="25"/>
      <c r="P23" s="25"/>
      <c r="Q23" s="25"/>
    </row>
    <row r="24" spans="1:17" s="74" customFormat="1" ht="12.75">
      <c r="A24" s="8" t="s">
        <v>358</v>
      </c>
      <c r="B24" s="8"/>
      <c r="C24" s="62">
        <v>0</v>
      </c>
      <c r="D24" s="62">
        <v>0</v>
      </c>
      <c r="E24" s="62">
        <v>0</v>
      </c>
      <c r="F24" s="63"/>
      <c r="G24" s="63"/>
      <c r="H24" s="64"/>
      <c r="I24" s="64"/>
      <c r="J24" s="8"/>
      <c r="K24" s="8"/>
      <c r="L24" s="8"/>
      <c r="M24" s="25"/>
      <c r="N24" s="25"/>
      <c r="O24" s="25"/>
      <c r="P24" s="25"/>
      <c r="Q24" s="25"/>
    </row>
    <row r="25" spans="1:17" s="74" customFormat="1" ht="12.75">
      <c r="A25" s="8" t="s">
        <v>354</v>
      </c>
      <c r="B25" s="9"/>
      <c r="C25" s="65">
        <v>645</v>
      </c>
      <c r="D25" s="65">
        <v>199.15570295525777</v>
      </c>
      <c r="E25" s="65">
        <v>445.84429704474246</v>
      </c>
      <c r="F25" s="66">
        <v>71.5</v>
      </c>
      <c r="G25" s="66">
        <v>22.076950017520822</v>
      </c>
      <c r="H25" s="64">
        <v>0.30876853171357793</v>
      </c>
      <c r="I25" s="64">
        <v>0.6912314682864225</v>
      </c>
      <c r="J25" s="9"/>
      <c r="K25" s="9"/>
      <c r="L25" s="9"/>
      <c r="M25" s="25"/>
      <c r="N25" s="25"/>
      <c r="O25" s="25"/>
      <c r="P25" s="25"/>
      <c r="Q25" s="25"/>
    </row>
    <row r="26" spans="1:17" s="74" customFormat="1" ht="12.75">
      <c r="A26" s="9"/>
      <c r="B26" s="9"/>
      <c r="C26" s="65"/>
      <c r="D26" s="65"/>
      <c r="E26" s="65"/>
      <c r="F26" s="66"/>
      <c r="G26" s="66"/>
      <c r="H26" s="67"/>
      <c r="I26" s="67"/>
      <c r="J26" s="9"/>
      <c r="K26" s="9"/>
      <c r="L26" s="9"/>
      <c r="M26" s="25"/>
      <c r="N26" s="25"/>
      <c r="O26" s="25"/>
      <c r="P26" s="25"/>
      <c r="Q26" s="25"/>
    </row>
    <row r="27" spans="1:17" s="74" customFormat="1" ht="12.75">
      <c r="A27" s="9"/>
      <c r="B27" s="9"/>
      <c r="C27" s="65"/>
      <c r="D27" s="65"/>
      <c r="E27" s="65"/>
      <c r="F27" s="66"/>
      <c r="G27" s="66"/>
      <c r="H27" s="67"/>
      <c r="I27" s="67"/>
      <c r="J27" s="9"/>
      <c r="K27" s="9"/>
      <c r="L27" s="9"/>
      <c r="M27" s="25"/>
      <c r="N27" s="25"/>
      <c r="O27" s="25"/>
      <c r="P27" s="25"/>
      <c r="Q27" s="25"/>
    </row>
    <row r="28" spans="1:17" s="74" customFormat="1" ht="12.75">
      <c r="A28" s="9"/>
      <c r="B28" s="9"/>
      <c r="C28" s="65"/>
      <c r="D28" s="65"/>
      <c r="E28" s="65"/>
      <c r="F28" s="66"/>
      <c r="G28" s="66"/>
      <c r="H28" s="67"/>
      <c r="I28" s="67"/>
      <c r="J28" s="9"/>
      <c r="K28" s="9"/>
      <c r="L28" s="9"/>
      <c r="M28" s="25"/>
      <c r="N28" s="25"/>
      <c r="O28" s="25"/>
      <c r="P28" s="25"/>
      <c r="Q28" s="25"/>
    </row>
    <row r="29" spans="1:17" s="74" customFormat="1" ht="12.75">
      <c r="A29" s="9"/>
      <c r="B29" s="9"/>
      <c r="C29" s="65"/>
      <c r="D29" s="65"/>
      <c r="E29" s="65"/>
      <c r="F29" s="66"/>
      <c r="G29" s="66"/>
      <c r="H29" s="67"/>
      <c r="I29" s="67"/>
      <c r="J29" s="9"/>
      <c r="K29" s="9"/>
      <c r="L29" s="9"/>
      <c r="M29" s="25"/>
      <c r="N29" s="25"/>
      <c r="O29" s="25"/>
      <c r="P29" s="25"/>
      <c r="Q29" s="25"/>
    </row>
    <row r="30" spans="1:12" ht="12.75">
      <c r="A30" s="85">
        <v>1</v>
      </c>
      <c r="B30" s="85">
        <v>2</v>
      </c>
      <c r="C30" s="85">
        <v>3</v>
      </c>
      <c r="D30" s="85">
        <v>4</v>
      </c>
      <c r="E30" s="85">
        <v>5</v>
      </c>
      <c r="F30" s="85">
        <v>6</v>
      </c>
      <c r="G30" s="85">
        <v>7</v>
      </c>
      <c r="H30" s="85">
        <v>8</v>
      </c>
      <c r="I30" s="85">
        <v>9</v>
      </c>
      <c r="J30" s="85">
        <v>10</v>
      </c>
      <c r="K30" s="85">
        <v>11</v>
      </c>
      <c r="L30" s="85">
        <v>12</v>
      </c>
    </row>
    <row r="31" ht="12.75">
      <c r="A31" t="s">
        <v>348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62"/>
  <sheetViews>
    <sheetView zoomScale="115" zoomScaleNormal="115" zoomScalePageLayoutView="0" workbookViewId="0" topLeftCell="A1">
      <pane xSplit="1" ySplit="11" topLeftCell="B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61" sqref="A161"/>
    </sheetView>
  </sheetViews>
  <sheetFormatPr defaultColWidth="9.140625" defaultRowHeight="12.75"/>
  <cols>
    <col min="1" max="1" width="38.8515625" style="102" bestFit="1" customWidth="1"/>
    <col min="2" max="2" width="12.7109375" style="90" customWidth="1"/>
    <col min="3" max="3" width="23.140625" style="9" customWidth="1"/>
    <col min="4" max="4" width="25.421875" style="9" customWidth="1"/>
    <col min="5" max="5" width="44.140625" style="9" customWidth="1"/>
    <col min="6" max="16" width="9.140625" style="11" customWidth="1"/>
    <col min="17" max="18" width="9.140625" style="9" customWidth="1"/>
    <col min="19" max="19" width="9.140625" style="11" customWidth="1"/>
    <col min="20" max="21" width="9.140625" style="9" customWidth="1"/>
    <col min="22" max="22" width="9.140625" style="322" customWidth="1"/>
    <col min="23" max="16384" width="9.140625" style="9" customWidth="1"/>
  </cols>
  <sheetData>
    <row r="1" ht="12.75" hidden="1">
      <c r="D1" s="297"/>
    </row>
    <row r="2" spans="1:4" ht="12.75" hidden="1">
      <c r="A2" s="13" t="s">
        <v>139</v>
      </c>
      <c r="B2" s="31" t="s">
        <v>226</v>
      </c>
      <c r="C2" s="31" t="s">
        <v>227</v>
      </c>
      <c r="D2" s="13" t="s">
        <v>228</v>
      </c>
    </row>
    <row r="3" spans="1:5" ht="12.75" hidden="1">
      <c r="A3" s="9" t="s">
        <v>224</v>
      </c>
      <c r="B3" s="11">
        <f>-1.575</f>
        <v>-1.575</v>
      </c>
      <c r="C3" s="9">
        <v>65</v>
      </c>
      <c r="D3" s="9">
        <f>-103.1/25.4</f>
        <v>-4.059055118110236</v>
      </c>
      <c r="E3" s="9" t="s">
        <v>229</v>
      </c>
    </row>
    <row r="4" spans="1:4" ht="12.75" hidden="1">
      <c r="A4" s="9" t="s">
        <v>225</v>
      </c>
      <c r="B4" s="9">
        <v>0</v>
      </c>
      <c r="C4" s="9">
        <v>0</v>
      </c>
      <c r="D4" s="9">
        <v>0</v>
      </c>
    </row>
    <row r="5" spans="1:12" s="53" customFormat="1" ht="17.25" customHeight="1">
      <c r="A5" s="32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s="53" customFormat="1" ht="4.5" customHeight="1" thickBot="1">
      <c r="A6" s="334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s="53" customFormat="1" ht="12.75" customHeight="1" thickBot="1">
      <c r="A7" s="421" t="s">
        <v>274</v>
      </c>
      <c r="B7" s="422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s="53" customFormat="1" ht="4.5" customHeight="1">
      <c r="A8" s="333"/>
      <c r="B8" s="333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4" ht="12.75">
      <c r="A9" s="94" t="s">
        <v>140</v>
      </c>
      <c r="B9" s="95" t="s">
        <v>219</v>
      </c>
      <c r="C9" s="96" t="s">
        <v>222</v>
      </c>
      <c r="D9" s="96"/>
      <c r="E9" s="96"/>
      <c r="K9" s="416" t="s">
        <v>141</v>
      </c>
      <c r="L9" s="416"/>
      <c r="M9" s="12"/>
      <c r="N9" s="12"/>
    </row>
    <row r="10" spans="1:22" ht="45">
      <c r="A10" s="13"/>
      <c r="B10" s="95" t="s">
        <v>220</v>
      </c>
      <c r="C10" s="96" t="s">
        <v>261</v>
      </c>
      <c r="D10" s="96" t="s">
        <v>266</v>
      </c>
      <c r="E10" s="96" t="s">
        <v>267</v>
      </c>
      <c r="F10" s="354" t="s">
        <v>404</v>
      </c>
      <c r="G10" s="354" t="s">
        <v>405</v>
      </c>
      <c r="H10" s="354" t="s">
        <v>406</v>
      </c>
      <c r="I10" s="354" t="s">
        <v>407</v>
      </c>
      <c r="J10" s="354" t="s">
        <v>408</v>
      </c>
      <c r="K10" s="355" t="s">
        <v>142</v>
      </c>
      <c r="L10" s="355" t="s">
        <v>143</v>
      </c>
      <c r="M10" s="354" t="s">
        <v>409</v>
      </c>
      <c r="N10" s="354" t="s">
        <v>410</v>
      </c>
      <c r="O10" s="354" t="s">
        <v>411</v>
      </c>
      <c r="P10" s="354" t="s">
        <v>412</v>
      </c>
      <c r="Q10" s="354" t="s">
        <v>413</v>
      </c>
      <c r="R10" s="354" t="s">
        <v>414</v>
      </c>
      <c r="S10" s="354" t="s">
        <v>415</v>
      </c>
      <c r="T10" s="354" t="s">
        <v>416</v>
      </c>
      <c r="U10" s="354" t="s">
        <v>417</v>
      </c>
      <c r="V10" s="356" t="s">
        <v>403</v>
      </c>
    </row>
    <row r="11" spans="1:22" s="89" customFormat="1" ht="12.75">
      <c r="A11" s="309" t="s">
        <v>273</v>
      </c>
      <c r="B11" s="310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23"/>
    </row>
    <row r="12" spans="1:22" s="24" customFormat="1" ht="12.75">
      <c r="A12" s="17" t="s">
        <v>234</v>
      </c>
      <c r="B12" s="135"/>
      <c r="C12" s="136">
        <v>0</v>
      </c>
      <c r="D12" s="136"/>
      <c r="E12" s="136"/>
      <c r="F12" s="137"/>
      <c r="G12" s="137"/>
      <c r="H12" s="137"/>
      <c r="I12" s="137"/>
      <c r="J12" s="137"/>
      <c r="K12" s="138"/>
      <c r="L12" s="138"/>
      <c r="M12" s="137"/>
      <c r="N12" s="137"/>
      <c r="O12" s="137"/>
      <c r="P12" s="137"/>
      <c r="Q12" s="137"/>
      <c r="R12" s="137"/>
      <c r="S12" s="137"/>
      <c r="T12" s="137"/>
      <c r="U12" s="137"/>
      <c r="V12" s="324"/>
    </row>
    <row r="13" spans="1:22" ht="12.75">
      <c r="A13" s="98" t="s">
        <v>430</v>
      </c>
      <c r="B13" s="90">
        <v>530</v>
      </c>
      <c r="C13" s="65">
        <v>-23.75</v>
      </c>
      <c r="D13" s="65"/>
      <c r="E13" s="9" t="s">
        <v>269</v>
      </c>
      <c r="F13" s="87" t="s">
        <v>146</v>
      </c>
      <c r="G13" s="87" t="s">
        <v>146</v>
      </c>
      <c r="H13" s="87" t="s">
        <v>146</v>
      </c>
      <c r="I13" s="87" t="s">
        <v>146</v>
      </c>
      <c r="J13" s="87" t="s">
        <v>146</v>
      </c>
      <c r="K13" s="87"/>
      <c r="M13" s="87" t="s">
        <v>146</v>
      </c>
      <c r="N13" s="87" t="s">
        <v>146</v>
      </c>
      <c r="O13" s="87" t="s">
        <v>146</v>
      </c>
      <c r="P13" s="87" t="s">
        <v>146</v>
      </c>
      <c r="Q13" s="87" t="s">
        <v>146</v>
      </c>
      <c r="R13" s="87" t="s">
        <v>146</v>
      </c>
      <c r="S13" s="87" t="s">
        <v>146</v>
      </c>
      <c r="T13" s="87" t="s">
        <v>146</v>
      </c>
      <c r="U13" s="87" t="s">
        <v>146</v>
      </c>
      <c r="V13" s="325"/>
    </row>
    <row r="14" spans="1:22" ht="12.75">
      <c r="A14" s="98" t="s">
        <v>431</v>
      </c>
      <c r="B14" s="90">
        <v>590</v>
      </c>
      <c r="C14" s="65">
        <v>-27.7540415704388</v>
      </c>
      <c r="D14" s="65"/>
      <c r="E14" s="65" t="s">
        <v>427</v>
      </c>
      <c r="H14" s="11" t="s">
        <v>146</v>
      </c>
      <c r="I14" s="11" t="s">
        <v>146</v>
      </c>
      <c r="J14" s="11" t="s">
        <v>146</v>
      </c>
      <c r="M14" s="11" t="s">
        <v>146</v>
      </c>
      <c r="N14" s="11" t="s">
        <v>146</v>
      </c>
      <c r="O14" s="11" t="s">
        <v>146</v>
      </c>
      <c r="P14" s="87" t="s">
        <v>146</v>
      </c>
      <c r="Q14" s="87" t="s">
        <v>146</v>
      </c>
      <c r="R14" s="87" t="s">
        <v>146</v>
      </c>
      <c r="S14" s="87" t="s">
        <v>146</v>
      </c>
      <c r="T14" s="87" t="s">
        <v>146</v>
      </c>
      <c r="U14" s="87" t="s">
        <v>146</v>
      </c>
      <c r="V14" s="325" t="s">
        <v>146</v>
      </c>
    </row>
    <row r="15" spans="1:22" ht="12.75">
      <c r="A15" s="98" t="s">
        <v>432</v>
      </c>
      <c r="B15" s="90">
        <v>694</v>
      </c>
      <c r="C15" s="65">
        <v>-30.578810623556585</v>
      </c>
      <c r="D15" s="65"/>
      <c r="E15" s="65" t="s">
        <v>427</v>
      </c>
      <c r="F15" s="87"/>
      <c r="G15" s="87"/>
      <c r="H15" s="87"/>
      <c r="I15" s="87"/>
      <c r="J15" s="87"/>
      <c r="K15" s="87"/>
      <c r="M15" s="87" t="s">
        <v>146</v>
      </c>
      <c r="N15" s="87" t="s">
        <v>146</v>
      </c>
      <c r="O15" s="87" t="s">
        <v>146</v>
      </c>
      <c r="P15" s="87" t="s">
        <v>146</v>
      </c>
      <c r="Q15" s="87" t="s">
        <v>146</v>
      </c>
      <c r="R15" s="87" t="s">
        <v>146</v>
      </c>
      <c r="S15" s="87" t="s">
        <v>146</v>
      </c>
      <c r="T15" s="87" t="s">
        <v>146</v>
      </c>
      <c r="U15" s="87" t="s">
        <v>146</v>
      </c>
      <c r="V15" s="325" t="s">
        <v>146</v>
      </c>
    </row>
    <row r="16" spans="1:22" ht="12.75">
      <c r="A16" s="98" t="s">
        <v>434</v>
      </c>
      <c r="B16" s="90">
        <v>417</v>
      </c>
      <c r="C16" s="65">
        <v>-22.46</v>
      </c>
      <c r="D16" s="65"/>
      <c r="E16" s="65" t="s">
        <v>426</v>
      </c>
      <c r="F16" s="87" t="s">
        <v>146</v>
      </c>
      <c r="G16" s="87" t="s">
        <v>146</v>
      </c>
      <c r="H16" s="87" t="s">
        <v>146</v>
      </c>
      <c r="I16" s="87" t="s">
        <v>146</v>
      </c>
      <c r="J16" s="87" t="s">
        <v>146</v>
      </c>
      <c r="K16" s="87"/>
      <c r="M16" s="87"/>
      <c r="N16" s="87"/>
      <c r="O16" s="87" t="s">
        <v>146</v>
      </c>
      <c r="P16" s="87"/>
      <c r="Q16" s="87"/>
      <c r="R16" s="87"/>
      <c r="S16" s="87"/>
      <c r="T16" s="87"/>
      <c r="U16" s="87"/>
      <c r="V16" s="325"/>
    </row>
    <row r="17" spans="1:22" ht="12.75">
      <c r="A17" s="98" t="s">
        <v>435</v>
      </c>
      <c r="B17" s="90">
        <v>521</v>
      </c>
      <c r="C17" s="65">
        <v>-22.46</v>
      </c>
      <c r="D17" s="65"/>
      <c r="E17" s="65" t="s">
        <v>426</v>
      </c>
      <c r="F17" s="87"/>
      <c r="G17" s="87"/>
      <c r="H17" s="87"/>
      <c r="I17" s="87"/>
      <c r="J17" s="87"/>
      <c r="K17" s="87"/>
      <c r="M17" s="87" t="s">
        <v>146</v>
      </c>
      <c r="N17" s="87" t="s">
        <v>146</v>
      </c>
      <c r="O17" s="87" t="s">
        <v>146</v>
      </c>
      <c r="P17" s="87" t="s">
        <v>146</v>
      </c>
      <c r="Q17" s="87"/>
      <c r="R17" s="87" t="s">
        <v>146</v>
      </c>
      <c r="S17" s="87" t="s">
        <v>146</v>
      </c>
      <c r="T17" s="87"/>
      <c r="U17" s="87"/>
      <c r="V17" s="325"/>
    </row>
    <row r="18" spans="1:22" ht="12.75">
      <c r="A18" s="98" t="s">
        <v>436</v>
      </c>
      <c r="B18" s="90">
        <v>595</v>
      </c>
      <c r="C18" s="65">
        <v>-22.46</v>
      </c>
      <c r="D18" s="65"/>
      <c r="E18" s="9" t="s">
        <v>269</v>
      </c>
      <c r="F18" s="87"/>
      <c r="G18" s="87"/>
      <c r="H18" s="87"/>
      <c r="I18" s="87"/>
      <c r="J18" s="87"/>
      <c r="K18" s="87"/>
      <c r="M18" s="87" t="s">
        <v>146</v>
      </c>
      <c r="N18" s="87" t="s">
        <v>146</v>
      </c>
      <c r="O18" s="87" t="s">
        <v>146</v>
      </c>
      <c r="P18" s="87" t="s">
        <v>146</v>
      </c>
      <c r="Q18" s="87"/>
      <c r="R18" s="87" t="s">
        <v>146</v>
      </c>
      <c r="S18" s="87" t="s">
        <v>146</v>
      </c>
      <c r="T18" s="87"/>
      <c r="U18" s="87"/>
      <c r="V18" s="325"/>
    </row>
    <row r="19" spans="1:22" ht="12.75">
      <c r="A19" s="98" t="s">
        <v>437</v>
      </c>
      <c r="B19" s="90">
        <v>550</v>
      </c>
      <c r="C19" s="65">
        <v>-23.43</v>
      </c>
      <c r="D19" s="65"/>
      <c r="E19" s="65" t="s">
        <v>428</v>
      </c>
      <c r="F19" s="87" t="s">
        <v>146</v>
      </c>
      <c r="G19" s="87" t="s">
        <v>146</v>
      </c>
      <c r="H19" s="87" t="s">
        <v>146</v>
      </c>
      <c r="I19" s="87" t="s">
        <v>146</v>
      </c>
      <c r="J19" s="87"/>
      <c r="K19" s="87"/>
      <c r="M19" s="87"/>
      <c r="N19" s="87"/>
      <c r="O19" s="87" t="s">
        <v>146</v>
      </c>
      <c r="P19" s="87"/>
      <c r="Q19" s="87"/>
      <c r="R19" s="87"/>
      <c r="S19" s="87"/>
      <c r="T19" s="87"/>
      <c r="U19" s="87"/>
      <c r="V19" s="325"/>
    </row>
    <row r="20" spans="1:22" ht="12.75">
      <c r="A20" s="98" t="s">
        <v>438</v>
      </c>
      <c r="B20" s="90">
        <v>575</v>
      </c>
      <c r="C20" s="65">
        <v>-23.43</v>
      </c>
      <c r="D20" s="65"/>
      <c r="E20" s="9" t="s">
        <v>269</v>
      </c>
      <c r="F20" s="87" t="s">
        <v>146</v>
      </c>
      <c r="G20" s="87" t="s">
        <v>146</v>
      </c>
      <c r="H20" s="87" t="s">
        <v>146</v>
      </c>
      <c r="I20" s="87" t="s">
        <v>146</v>
      </c>
      <c r="J20" s="87" t="s">
        <v>146</v>
      </c>
      <c r="K20" s="87"/>
      <c r="M20" s="87" t="s">
        <v>146</v>
      </c>
      <c r="N20" s="87" t="s">
        <v>146</v>
      </c>
      <c r="O20" s="87" t="s">
        <v>146</v>
      </c>
      <c r="P20" s="87" t="s">
        <v>146</v>
      </c>
      <c r="Q20" s="87" t="s">
        <v>146</v>
      </c>
      <c r="R20" s="87" t="s">
        <v>146</v>
      </c>
      <c r="S20" s="87" t="s">
        <v>146</v>
      </c>
      <c r="T20" s="87"/>
      <c r="U20" s="87"/>
      <c r="V20" s="325"/>
    </row>
    <row r="21" spans="1:22" ht="12.75">
      <c r="A21" s="98" t="s">
        <v>439</v>
      </c>
      <c r="B21" s="90">
        <v>385</v>
      </c>
      <c r="C21" s="65">
        <v>-15.29</v>
      </c>
      <c r="D21" s="65"/>
      <c r="E21" s="65" t="s">
        <v>429</v>
      </c>
      <c r="F21" s="87" t="s">
        <v>146</v>
      </c>
      <c r="G21" s="87" t="s">
        <v>146</v>
      </c>
      <c r="H21" s="87" t="s">
        <v>146</v>
      </c>
      <c r="I21" s="87" t="s">
        <v>146</v>
      </c>
      <c r="J21" s="87" t="s">
        <v>146</v>
      </c>
      <c r="K21" s="87"/>
      <c r="M21" s="87" t="s">
        <v>146</v>
      </c>
      <c r="N21" s="87" t="s">
        <v>146</v>
      </c>
      <c r="O21" s="87" t="s">
        <v>146</v>
      </c>
      <c r="P21" s="87"/>
      <c r="Q21" s="87"/>
      <c r="R21" s="87" t="s">
        <v>146</v>
      </c>
      <c r="S21" s="87" t="s">
        <v>146</v>
      </c>
      <c r="T21" s="87" t="s">
        <v>146</v>
      </c>
      <c r="U21" s="87" t="s">
        <v>146</v>
      </c>
      <c r="V21" s="325"/>
    </row>
    <row r="22" spans="1:22" ht="12.75">
      <c r="A22" s="98" t="s">
        <v>440</v>
      </c>
      <c r="B22" s="90">
        <v>465</v>
      </c>
      <c r="C22" s="65">
        <v>-15.29</v>
      </c>
      <c r="D22" s="65"/>
      <c r="E22" s="65" t="s">
        <v>429</v>
      </c>
      <c r="F22" s="87"/>
      <c r="G22" s="87"/>
      <c r="H22" s="87" t="s">
        <v>146</v>
      </c>
      <c r="I22" s="87" t="s">
        <v>146</v>
      </c>
      <c r="J22" s="87" t="s">
        <v>146</v>
      </c>
      <c r="K22" s="87"/>
      <c r="M22" s="87" t="s">
        <v>146</v>
      </c>
      <c r="N22" s="87" t="s">
        <v>146</v>
      </c>
      <c r="O22" s="87" t="s">
        <v>146</v>
      </c>
      <c r="P22" s="87" t="s">
        <v>146</v>
      </c>
      <c r="Q22" s="87" t="s">
        <v>146</v>
      </c>
      <c r="R22" s="87" t="s">
        <v>146</v>
      </c>
      <c r="S22" s="87" t="s">
        <v>146</v>
      </c>
      <c r="T22" s="87" t="s">
        <v>146</v>
      </c>
      <c r="U22" s="87" t="s">
        <v>146</v>
      </c>
      <c r="V22" s="325" t="s">
        <v>146</v>
      </c>
    </row>
    <row r="23" spans="1:22" ht="12.75">
      <c r="A23" s="98" t="s">
        <v>441</v>
      </c>
      <c r="B23" s="90">
        <v>500</v>
      </c>
      <c r="C23" s="65">
        <v>-15.29</v>
      </c>
      <c r="D23" s="65"/>
      <c r="E23" s="65" t="s">
        <v>429</v>
      </c>
      <c r="F23" s="87"/>
      <c r="G23" s="87"/>
      <c r="H23" s="87" t="s">
        <v>146</v>
      </c>
      <c r="I23" s="87" t="s">
        <v>146</v>
      </c>
      <c r="J23" s="87" t="s">
        <v>146</v>
      </c>
      <c r="K23" s="87"/>
      <c r="M23" s="87" t="s">
        <v>146</v>
      </c>
      <c r="N23" s="87" t="s">
        <v>146</v>
      </c>
      <c r="O23" s="87" t="s">
        <v>146</v>
      </c>
      <c r="P23" s="87" t="s">
        <v>146</v>
      </c>
      <c r="Q23" s="87" t="s">
        <v>146</v>
      </c>
      <c r="R23" s="87" t="s">
        <v>146</v>
      </c>
      <c r="S23" s="87" t="s">
        <v>146</v>
      </c>
      <c r="T23" s="87" t="s">
        <v>146</v>
      </c>
      <c r="U23" s="87" t="s">
        <v>146</v>
      </c>
      <c r="V23" s="325" t="s">
        <v>146</v>
      </c>
    </row>
    <row r="24" spans="1:22" ht="12.75">
      <c r="A24" s="98" t="s">
        <v>442</v>
      </c>
      <c r="B24" s="90">
        <v>535</v>
      </c>
      <c r="C24" s="65">
        <v>-15.29</v>
      </c>
      <c r="D24" s="65"/>
      <c r="E24" s="9" t="s">
        <v>269</v>
      </c>
      <c r="F24" s="87"/>
      <c r="G24" s="87"/>
      <c r="H24" s="87" t="s">
        <v>146</v>
      </c>
      <c r="I24" s="87" t="s">
        <v>146</v>
      </c>
      <c r="J24" s="87" t="s">
        <v>146</v>
      </c>
      <c r="K24" s="87"/>
      <c r="M24" s="87" t="s">
        <v>146</v>
      </c>
      <c r="N24" s="87" t="s">
        <v>146</v>
      </c>
      <c r="O24" s="87" t="s">
        <v>146</v>
      </c>
      <c r="P24" s="87" t="s">
        <v>146</v>
      </c>
      <c r="Q24" s="87" t="s">
        <v>146</v>
      </c>
      <c r="R24" s="87" t="s">
        <v>146</v>
      </c>
      <c r="S24" s="87" t="s">
        <v>146</v>
      </c>
      <c r="T24" s="87" t="s">
        <v>146</v>
      </c>
      <c r="U24" s="87" t="s">
        <v>146</v>
      </c>
      <c r="V24" s="325" t="s">
        <v>146</v>
      </c>
    </row>
    <row r="25" spans="1:22" ht="12.75">
      <c r="A25" s="98" t="s">
        <v>433</v>
      </c>
      <c r="B25" s="90">
        <v>1000</v>
      </c>
      <c r="C25" s="65">
        <v>-23.49</v>
      </c>
      <c r="D25" s="65"/>
      <c r="E25" s="9" t="s">
        <v>269</v>
      </c>
      <c r="F25" s="87"/>
      <c r="G25" s="87"/>
      <c r="H25" s="87"/>
      <c r="I25" s="87"/>
      <c r="J25" s="87"/>
      <c r="K25" s="87"/>
      <c r="M25" s="87"/>
      <c r="N25" s="87"/>
      <c r="O25" s="87"/>
      <c r="P25" s="87"/>
      <c r="Q25" s="87"/>
      <c r="R25" s="87"/>
      <c r="S25" s="87"/>
      <c r="T25" s="87"/>
      <c r="U25" s="87"/>
      <c r="V25" s="325"/>
    </row>
    <row r="26" spans="1:22" ht="12.75">
      <c r="A26" s="163" t="s">
        <v>188</v>
      </c>
      <c r="B26" s="147">
        <v>490</v>
      </c>
      <c r="C26" s="68">
        <v>-31.71</v>
      </c>
      <c r="D26" s="65"/>
      <c r="E26" s="65" t="s">
        <v>377</v>
      </c>
      <c r="F26" s="87" t="s">
        <v>146</v>
      </c>
      <c r="G26" s="87" t="s">
        <v>146</v>
      </c>
      <c r="H26" s="10"/>
      <c r="I26" s="10"/>
      <c r="J26" s="87" t="s">
        <v>146</v>
      </c>
      <c r="K26" s="87" t="s">
        <v>146</v>
      </c>
      <c r="L26" s="11" t="s">
        <v>146</v>
      </c>
      <c r="O26" s="87" t="s">
        <v>146</v>
      </c>
      <c r="P26" s="87" t="s">
        <v>146</v>
      </c>
      <c r="Q26" s="87" t="s">
        <v>146</v>
      </c>
      <c r="R26" s="87" t="s">
        <v>146</v>
      </c>
      <c r="S26" s="11" t="s">
        <v>146</v>
      </c>
      <c r="T26" s="87" t="s">
        <v>146</v>
      </c>
      <c r="U26" s="87" t="s">
        <v>146</v>
      </c>
      <c r="V26" s="325" t="s">
        <v>146</v>
      </c>
    </row>
    <row r="27" spans="1:22" ht="12.75">
      <c r="A27" s="163" t="s">
        <v>189</v>
      </c>
      <c r="B27" s="147">
        <v>575</v>
      </c>
      <c r="C27" s="68">
        <v>-34.22</v>
      </c>
      <c r="D27" s="65"/>
      <c r="E27" s="65" t="s">
        <v>378</v>
      </c>
      <c r="F27" s="87"/>
      <c r="G27" s="87"/>
      <c r="H27" s="10"/>
      <c r="I27" s="10"/>
      <c r="J27" s="87" t="s">
        <v>146</v>
      </c>
      <c r="K27" s="87" t="s">
        <v>146</v>
      </c>
      <c r="L27" s="11" t="s">
        <v>146</v>
      </c>
      <c r="O27" s="87" t="s">
        <v>146</v>
      </c>
      <c r="P27" s="87" t="s">
        <v>146</v>
      </c>
      <c r="Q27" s="87" t="s">
        <v>146</v>
      </c>
      <c r="R27" s="87" t="s">
        <v>146</v>
      </c>
      <c r="S27" s="11" t="s">
        <v>146</v>
      </c>
      <c r="T27" s="87" t="s">
        <v>146</v>
      </c>
      <c r="U27" s="87" t="s">
        <v>146</v>
      </c>
      <c r="V27" s="325" t="s">
        <v>146</v>
      </c>
    </row>
    <row r="28" spans="1:22" ht="12.75">
      <c r="A28" s="163" t="s">
        <v>190</v>
      </c>
      <c r="B28" s="147">
        <v>700</v>
      </c>
      <c r="C28" s="68">
        <v>-40.25</v>
      </c>
      <c r="D28" s="65"/>
      <c r="E28" s="65" t="s">
        <v>377</v>
      </c>
      <c r="F28" s="87"/>
      <c r="G28" s="87"/>
      <c r="H28" s="10"/>
      <c r="I28" s="10"/>
      <c r="J28" s="87"/>
      <c r="K28" s="87"/>
      <c r="O28" s="87" t="s">
        <v>146</v>
      </c>
      <c r="P28" s="87" t="s">
        <v>146</v>
      </c>
      <c r="Q28" s="87" t="s">
        <v>146</v>
      </c>
      <c r="R28" s="87" t="s">
        <v>146</v>
      </c>
      <c r="S28" s="11" t="s">
        <v>146</v>
      </c>
      <c r="T28" s="87" t="s">
        <v>146</v>
      </c>
      <c r="U28" s="87" t="s">
        <v>146</v>
      </c>
      <c r="V28" s="325" t="s">
        <v>146</v>
      </c>
    </row>
    <row r="29" spans="1:22" ht="12.75">
      <c r="A29" s="163" t="s">
        <v>194</v>
      </c>
      <c r="B29" s="147">
        <v>860</v>
      </c>
      <c r="C29" s="68">
        <v>-36.25</v>
      </c>
      <c r="D29" s="65"/>
      <c r="E29" s="65"/>
      <c r="F29" s="87"/>
      <c r="G29" s="87"/>
      <c r="H29" s="10"/>
      <c r="I29" s="10"/>
      <c r="J29" s="87"/>
      <c r="K29" s="87"/>
      <c r="O29" s="87" t="s">
        <v>146</v>
      </c>
      <c r="P29" s="87" t="s">
        <v>146</v>
      </c>
      <c r="Q29" s="87" t="s">
        <v>146</v>
      </c>
      <c r="R29" s="87" t="s">
        <v>146</v>
      </c>
      <c r="S29" s="11" t="s">
        <v>146</v>
      </c>
      <c r="T29" s="87" t="s">
        <v>146</v>
      </c>
      <c r="U29" s="87" t="s">
        <v>146</v>
      </c>
      <c r="V29" s="325" t="s">
        <v>146</v>
      </c>
    </row>
    <row r="30" spans="1:22" ht="12.75">
      <c r="A30" s="98" t="s">
        <v>195</v>
      </c>
      <c r="B30" s="147">
        <v>1053</v>
      </c>
      <c r="C30" s="68">
        <v>-39.3700787401575</v>
      </c>
      <c r="D30" s="65"/>
      <c r="E30" s="65" t="s">
        <v>397</v>
      </c>
      <c r="F30" s="87"/>
      <c r="G30" s="87"/>
      <c r="H30" s="12"/>
      <c r="I30" s="12"/>
      <c r="J30" s="87"/>
      <c r="K30" s="87"/>
      <c r="O30" s="87"/>
      <c r="P30" s="87"/>
      <c r="Q30" s="87"/>
      <c r="R30" s="87"/>
      <c r="S30" s="11" t="s">
        <v>146</v>
      </c>
      <c r="T30" s="87" t="s">
        <v>146</v>
      </c>
      <c r="U30" s="87" t="s">
        <v>146</v>
      </c>
      <c r="V30" s="325" t="s">
        <v>146</v>
      </c>
    </row>
    <row r="31" spans="1:22" ht="12.75">
      <c r="A31" s="101" t="s">
        <v>208</v>
      </c>
      <c r="B31" s="147">
        <v>395</v>
      </c>
      <c r="C31" s="68">
        <v>-13.916</v>
      </c>
      <c r="D31" s="65"/>
      <c r="E31" s="65" t="s">
        <v>494</v>
      </c>
      <c r="F31" s="87" t="s">
        <v>146</v>
      </c>
      <c r="G31" s="87" t="s">
        <v>146</v>
      </c>
      <c r="H31" s="87"/>
      <c r="I31" s="87"/>
      <c r="J31" s="87" t="s">
        <v>146</v>
      </c>
      <c r="K31" s="87" t="s">
        <v>146</v>
      </c>
      <c r="L31" s="10"/>
      <c r="M31" s="12"/>
      <c r="N31" s="12"/>
      <c r="O31" s="87" t="s">
        <v>146</v>
      </c>
      <c r="P31" s="87" t="s">
        <v>146</v>
      </c>
      <c r="Q31" s="87" t="s">
        <v>146</v>
      </c>
      <c r="R31" s="87" t="s">
        <v>146</v>
      </c>
      <c r="S31" s="11" t="s">
        <v>146</v>
      </c>
      <c r="T31" s="87" t="s">
        <v>146</v>
      </c>
      <c r="U31" s="87" t="s">
        <v>146</v>
      </c>
      <c r="V31" s="325" t="s">
        <v>146</v>
      </c>
    </row>
    <row r="32" spans="1:22" ht="12.75">
      <c r="A32" s="101" t="s">
        <v>209</v>
      </c>
      <c r="B32" s="147">
        <v>560</v>
      </c>
      <c r="C32" s="68">
        <v>-19.92</v>
      </c>
      <c r="D32" s="65"/>
      <c r="E32" s="65" t="s">
        <v>494</v>
      </c>
      <c r="F32" s="87"/>
      <c r="G32" s="87" t="s">
        <v>146</v>
      </c>
      <c r="H32" s="87"/>
      <c r="I32" s="87"/>
      <c r="J32" s="87" t="s">
        <v>146</v>
      </c>
      <c r="K32" s="87" t="s">
        <v>146</v>
      </c>
      <c r="L32" s="10"/>
      <c r="M32" s="12"/>
      <c r="N32" s="12"/>
      <c r="O32" s="87" t="s">
        <v>146</v>
      </c>
      <c r="P32" s="87" t="s">
        <v>146</v>
      </c>
      <c r="Q32" s="87" t="s">
        <v>146</v>
      </c>
      <c r="R32" s="87" t="s">
        <v>146</v>
      </c>
      <c r="S32" s="11" t="s">
        <v>146</v>
      </c>
      <c r="T32" s="87" t="s">
        <v>146</v>
      </c>
      <c r="U32" s="87" t="s">
        <v>146</v>
      </c>
      <c r="V32" s="325" t="s">
        <v>146</v>
      </c>
    </row>
    <row r="33" spans="1:22" ht="12.75">
      <c r="A33" s="98" t="s">
        <v>145</v>
      </c>
      <c r="B33" s="147">
        <v>755</v>
      </c>
      <c r="C33" s="68">
        <v>-3</v>
      </c>
      <c r="D33" s="65"/>
      <c r="E33" s="65" t="s">
        <v>494</v>
      </c>
      <c r="F33" s="87"/>
      <c r="G33" s="87"/>
      <c r="H33" s="87"/>
      <c r="I33" s="87"/>
      <c r="J33" s="87" t="s">
        <v>146</v>
      </c>
      <c r="K33" s="87"/>
      <c r="L33" s="10"/>
      <c r="M33" s="12"/>
      <c r="N33" s="12"/>
      <c r="O33" s="87"/>
      <c r="P33" s="87"/>
      <c r="Q33" s="87"/>
      <c r="R33" s="87"/>
      <c r="T33" s="87"/>
      <c r="U33" s="87"/>
      <c r="V33" s="325"/>
    </row>
    <row r="34" spans="1:22" ht="12.75">
      <c r="A34" s="98" t="s">
        <v>148</v>
      </c>
      <c r="B34" s="147">
        <v>765</v>
      </c>
      <c r="C34" s="68">
        <v>11.66</v>
      </c>
      <c r="D34" s="65"/>
      <c r="E34" s="65" t="s">
        <v>494</v>
      </c>
      <c r="F34" s="87"/>
      <c r="G34" s="87" t="s">
        <v>146</v>
      </c>
      <c r="H34" s="87" t="s">
        <v>146</v>
      </c>
      <c r="I34" s="87" t="s">
        <v>146</v>
      </c>
      <c r="J34" s="87"/>
      <c r="K34" s="87"/>
      <c r="L34" s="10"/>
      <c r="M34" s="12"/>
      <c r="N34" s="12"/>
      <c r="O34" s="87"/>
      <c r="P34" s="87"/>
      <c r="Q34" s="87"/>
      <c r="R34" s="87"/>
      <c r="T34" s="87"/>
      <c r="U34" s="87"/>
      <c r="V34" s="325"/>
    </row>
    <row r="35" spans="1:22" ht="12.75">
      <c r="A35" s="98" t="s">
        <v>149</v>
      </c>
      <c r="B35" s="147">
        <v>1465</v>
      </c>
      <c r="C35" s="68">
        <v>-10.43</v>
      </c>
      <c r="D35" s="65"/>
      <c r="E35" s="65" t="s">
        <v>494</v>
      </c>
      <c r="F35" s="87"/>
      <c r="G35" s="87"/>
      <c r="H35" s="87"/>
      <c r="I35" s="87"/>
      <c r="J35" s="87"/>
      <c r="K35" s="87" t="s">
        <v>146</v>
      </c>
      <c r="L35" s="10"/>
      <c r="M35" s="12"/>
      <c r="N35" s="12"/>
      <c r="O35" s="87" t="s">
        <v>146</v>
      </c>
      <c r="P35" s="87" t="s">
        <v>146</v>
      </c>
      <c r="Q35" s="87" t="s">
        <v>146</v>
      </c>
      <c r="R35" s="87"/>
      <c r="S35" s="11" t="s">
        <v>146</v>
      </c>
      <c r="T35" s="87" t="s">
        <v>146</v>
      </c>
      <c r="U35" s="87" t="s">
        <v>146</v>
      </c>
      <c r="V35" s="325" t="s">
        <v>146</v>
      </c>
    </row>
    <row r="36" spans="1:22" ht="12.75">
      <c r="A36" s="98" t="s">
        <v>151</v>
      </c>
      <c r="B36" s="147">
        <v>605</v>
      </c>
      <c r="C36" s="68">
        <v>-3.08</v>
      </c>
      <c r="D36" s="65"/>
      <c r="E36" s="65" t="s">
        <v>494</v>
      </c>
      <c r="F36" s="87" t="s">
        <v>146</v>
      </c>
      <c r="G36" s="87"/>
      <c r="H36" s="87"/>
      <c r="I36" s="87"/>
      <c r="J36" s="87"/>
      <c r="K36" s="87"/>
      <c r="L36" s="10"/>
      <c r="M36" s="12"/>
      <c r="N36" s="12"/>
      <c r="O36" s="87"/>
      <c r="P36" s="87"/>
      <c r="Q36" s="87"/>
      <c r="R36" s="87"/>
      <c r="T36" s="87"/>
      <c r="U36" s="87"/>
      <c r="V36" s="325"/>
    </row>
    <row r="37" spans="1:22" ht="12.75">
      <c r="A37" s="98" t="s">
        <v>152</v>
      </c>
      <c r="B37" s="147">
        <v>1060</v>
      </c>
      <c r="C37" s="68">
        <v>-9</v>
      </c>
      <c r="D37" s="65"/>
      <c r="E37" s="65" t="s">
        <v>494</v>
      </c>
      <c r="F37" s="87"/>
      <c r="G37" s="87"/>
      <c r="H37" s="87"/>
      <c r="I37" s="87"/>
      <c r="J37" s="87"/>
      <c r="K37" s="87" t="s">
        <v>146</v>
      </c>
      <c r="L37" s="10"/>
      <c r="M37" s="12"/>
      <c r="N37" s="12"/>
      <c r="O37" s="87" t="s">
        <v>146</v>
      </c>
      <c r="P37" s="87" t="s">
        <v>146</v>
      </c>
      <c r="Q37" s="87" t="s">
        <v>146</v>
      </c>
      <c r="R37" s="87"/>
      <c r="T37" s="87"/>
      <c r="U37" s="87"/>
      <c r="V37" s="325"/>
    </row>
    <row r="38" spans="1:22" ht="12.75">
      <c r="A38" s="98" t="s">
        <v>153</v>
      </c>
      <c r="B38" s="147">
        <v>1470</v>
      </c>
      <c r="C38" s="68">
        <v>-14.3</v>
      </c>
      <c r="D38" s="65"/>
      <c r="E38" s="65" t="s">
        <v>494</v>
      </c>
      <c r="F38" s="87"/>
      <c r="G38" s="87"/>
      <c r="H38" s="87"/>
      <c r="I38" s="87"/>
      <c r="J38" s="87"/>
      <c r="K38" s="87" t="s">
        <v>146</v>
      </c>
      <c r="L38" s="10"/>
      <c r="M38" s="12"/>
      <c r="N38" s="12"/>
      <c r="O38" s="87" t="s">
        <v>146</v>
      </c>
      <c r="P38" s="87" t="s">
        <v>146</v>
      </c>
      <c r="Q38" s="87" t="s">
        <v>146</v>
      </c>
      <c r="R38" s="87"/>
      <c r="S38" s="11" t="s">
        <v>146</v>
      </c>
      <c r="T38" s="87" t="s">
        <v>146</v>
      </c>
      <c r="U38" s="87" t="s">
        <v>146</v>
      </c>
      <c r="V38" s="325" t="s">
        <v>146</v>
      </c>
    </row>
    <row r="39" spans="1:22" ht="12.75">
      <c r="A39" s="98" t="s">
        <v>486</v>
      </c>
      <c r="B39" s="147">
        <v>180</v>
      </c>
      <c r="C39" s="68">
        <v>60.94</v>
      </c>
      <c r="D39" s="65"/>
      <c r="E39" s="65" t="s">
        <v>494</v>
      </c>
      <c r="F39" s="87"/>
      <c r="G39" s="87"/>
      <c r="H39" s="87"/>
      <c r="I39" s="87"/>
      <c r="J39" s="87"/>
      <c r="K39" s="87"/>
      <c r="L39" s="10"/>
      <c r="M39" s="12"/>
      <c r="N39" s="12"/>
      <c r="O39" s="87"/>
      <c r="P39" s="87"/>
      <c r="Q39" s="87"/>
      <c r="R39" s="87"/>
      <c r="T39" s="87"/>
      <c r="U39" s="87"/>
      <c r="V39" s="325"/>
    </row>
    <row r="40" spans="1:22" ht="12.75">
      <c r="A40" s="98" t="s">
        <v>487</v>
      </c>
      <c r="B40" s="147">
        <v>80</v>
      </c>
      <c r="C40" s="68">
        <v>30.94</v>
      </c>
      <c r="D40" s="65"/>
      <c r="E40" s="65" t="s">
        <v>494</v>
      </c>
      <c r="F40" s="87"/>
      <c r="G40" s="87"/>
      <c r="H40" s="87"/>
      <c r="I40" s="87"/>
      <c r="J40" s="87"/>
      <c r="K40" s="87"/>
      <c r="L40" s="10"/>
      <c r="M40" s="12"/>
      <c r="N40" s="12"/>
      <c r="O40" s="87"/>
      <c r="P40" s="87"/>
      <c r="Q40" s="87"/>
      <c r="R40" s="87"/>
      <c r="T40" s="87"/>
      <c r="U40" s="87"/>
      <c r="V40" s="325"/>
    </row>
    <row r="41" spans="1:22" ht="12.75">
      <c r="A41" s="162" t="s">
        <v>214</v>
      </c>
      <c r="B41" s="147">
        <v>350</v>
      </c>
      <c r="C41" s="68">
        <v>-11.93</v>
      </c>
      <c r="D41" s="65"/>
      <c r="E41" s="65" t="s">
        <v>494</v>
      </c>
      <c r="F41" s="87" t="s">
        <v>146</v>
      </c>
      <c r="G41" s="87" t="s">
        <v>146</v>
      </c>
      <c r="H41" s="87" t="s">
        <v>146</v>
      </c>
      <c r="I41" s="87" t="s">
        <v>146</v>
      </c>
      <c r="J41" s="87"/>
      <c r="K41" s="87"/>
      <c r="O41" s="87"/>
      <c r="P41" s="87"/>
      <c r="Q41" s="87"/>
      <c r="R41" s="87"/>
      <c r="U41" s="87"/>
      <c r="V41" s="325"/>
    </row>
    <row r="42" spans="1:22" ht="12.75">
      <c r="A42" s="162" t="s">
        <v>215</v>
      </c>
      <c r="B42" s="147">
        <v>425</v>
      </c>
      <c r="C42" s="68">
        <v>-12.23</v>
      </c>
      <c r="D42" s="65"/>
      <c r="E42" s="65" t="s">
        <v>494</v>
      </c>
      <c r="F42" s="87"/>
      <c r="G42" s="87" t="s">
        <v>146</v>
      </c>
      <c r="H42" s="87" t="s">
        <v>146</v>
      </c>
      <c r="I42" s="87" t="s">
        <v>146</v>
      </c>
      <c r="J42" s="87" t="s">
        <v>146</v>
      </c>
      <c r="K42" s="87" t="s">
        <v>146</v>
      </c>
      <c r="L42" s="11" t="s">
        <v>146</v>
      </c>
      <c r="O42" s="87" t="s">
        <v>146</v>
      </c>
      <c r="P42" s="87" t="s">
        <v>146</v>
      </c>
      <c r="Q42" s="87"/>
      <c r="R42" s="87" t="s">
        <v>146</v>
      </c>
      <c r="T42" s="87"/>
      <c r="U42" s="87"/>
      <c r="V42" s="325"/>
    </row>
    <row r="43" spans="1:22" ht="12.75">
      <c r="A43" s="162" t="s">
        <v>216</v>
      </c>
      <c r="B43" s="147">
        <v>620</v>
      </c>
      <c r="C43" s="68">
        <v>-14.98</v>
      </c>
      <c r="D43" s="65"/>
      <c r="E43" s="65" t="s">
        <v>494</v>
      </c>
      <c r="F43" s="87"/>
      <c r="G43" s="87"/>
      <c r="H43" s="87"/>
      <c r="I43" s="87"/>
      <c r="J43" s="87" t="s">
        <v>146</v>
      </c>
      <c r="K43" s="87" t="s">
        <v>146</v>
      </c>
      <c r="L43" s="11" t="s">
        <v>146</v>
      </c>
      <c r="O43" s="87" t="s">
        <v>146</v>
      </c>
      <c r="P43" s="87" t="s">
        <v>146</v>
      </c>
      <c r="Q43" s="87" t="s">
        <v>146</v>
      </c>
      <c r="R43" s="87" t="s">
        <v>146</v>
      </c>
      <c r="S43" s="11" t="s">
        <v>146</v>
      </c>
      <c r="T43" s="87" t="s">
        <v>146</v>
      </c>
      <c r="U43" s="87" t="s">
        <v>146</v>
      </c>
      <c r="V43" s="325" t="s">
        <v>146</v>
      </c>
    </row>
    <row r="44" spans="1:22" ht="12.75">
      <c r="A44" s="162" t="s">
        <v>217</v>
      </c>
      <c r="B44" s="159">
        <v>667</v>
      </c>
      <c r="C44" s="392">
        <f>-320/25.4</f>
        <v>-12.598425196850394</v>
      </c>
      <c r="D44" s="65"/>
      <c r="E44" s="65" t="s">
        <v>495</v>
      </c>
      <c r="F44" s="87"/>
      <c r="G44" s="87"/>
      <c r="H44" s="87"/>
      <c r="I44" s="87"/>
      <c r="J44" s="87"/>
      <c r="K44" s="87"/>
      <c r="O44" s="87"/>
      <c r="R44" s="87" t="s">
        <v>146</v>
      </c>
      <c r="S44" s="11" t="s">
        <v>146</v>
      </c>
      <c r="T44" s="87" t="s">
        <v>146</v>
      </c>
      <c r="U44" s="87" t="s">
        <v>146</v>
      </c>
      <c r="V44" s="325" t="s">
        <v>146</v>
      </c>
    </row>
    <row r="45" spans="1:22" ht="12.75">
      <c r="A45" s="162" t="s">
        <v>218</v>
      </c>
      <c r="B45" s="147">
        <v>1015</v>
      </c>
      <c r="C45" s="68">
        <v>-16.37</v>
      </c>
      <c r="D45" s="65"/>
      <c r="E45" s="65" t="s">
        <v>494</v>
      </c>
      <c r="F45" s="87"/>
      <c r="G45" s="87"/>
      <c r="H45" s="87"/>
      <c r="I45" s="87"/>
      <c r="J45" s="87"/>
      <c r="K45" s="87"/>
      <c r="O45" s="87"/>
      <c r="R45" s="87" t="s">
        <v>146</v>
      </c>
      <c r="S45" s="11" t="s">
        <v>146</v>
      </c>
      <c r="T45" s="87" t="s">
        <v>146</v>
      </c>
      <c r="U45" s="87" t="s">
        <v>146</v>
      </c>
      <c r="V45" s="325" t="s">
        <v>146</v>
      </c>
    </row>
    <row r="46" spans="1:22" ht="12.75">
      <c r="A46" s="101" t="s">
        <v>484</v>
      </c>
      <c r="B46" s="318">
        <v>163.93</v>
      </c>
      <c r="C46" s="65">
        <v>-24</v>
      </c>
      <c r="D46" s="65"/>
      <c r="E46" s="68" t="s">
        <v>423</v>
      </c>
      <c r="F46" s="87"/>
      <c r="G46" s="87"/>
      <c r="H46" s="87"/>
      <c r="I46" s="87"/>
      <c r="J46" s="87"/>
      <c r="K46" s="87"/>
      <c r="O46" s="87"/>
      <c r="R46" s="87"/>
      <c r="T46" s="87"/>
      <c r="U46" s="87"/>
      <c r="V46" s="325"/>
    </row>
    <row r="47" spans="1:22" ht="12.75">
      <c r="A47" s="101" t="s">
        <v>483</v>
      </c>
      <c r="B47" s="318">
        <v>245.9</v>
      </c>
      <c r="C47" s="65">
        <v>-24</v>
      </c>
      <c r="D47" s="65"/>
      <c r="E47" s="68" t="s">
        <v>423</v>
      </c>
      <c r="F47" s="87"/>
      <c r="G47" s="87"/>
      <c r="H47" s="87"/>
      <c r="I47" s="87"/>
      <c r="J47" s="87"/>
      <c r="K47" s="87"/>
      <c r="O47" s="87"/>
      <c r="R47" s="87"/>
      <c r="T47" s="87"/>
      <c r="U47" s="87"/>
      <c r="V47" s="325"/>
    </row>
    <row r="48" spans="1:22" ht="12.75">
      <c r="A48" s="101" t="s">
        <v>458</v>
      </c>
      <c r="B48" s="319">
        <v>327.8688524590164</v>
      </c>
      <c r="C48" s="65">
        <v>-24</v>
      </c>
      <c r="D48" s="65"/>
      <c r="E48" s="68" t="s">
        <v>423</v>
      </c>
      <c r="F48" s="87"/>
      <c r="G48" s="87"/>
      <c r="H48" s="87"/>
      <c r="I48" s="87"/>
      <c r="J48" s="87"/>
      <c r="K48" s="87"/>
      <c r="O48" s="87"/>
      <c r="R48" s="87"/>
      <c r="T48" s="87"/>
      <c r="U48" s="87"/>
      <c r="V48" s="325"/>
    </row>
    <row r="49" spans="1:22" ht="12.75">
      <c r="A49" s="101" t="s">
        <v>459</v>
      </c>
      <c r="B49" s="319">
        <v>409.8360655737705</v>
      </c>
      <c r="C49" s="65">
        <v>-24</v>
      </c>
      <c r="D49" s="65"/>
      <c r="E49" s="68" t="s">
        <v>423</v>
      </c>
      <c r="F49" s="87"/>
      <c r="G49" s="87"/>
      <c r="H49" s="87"/>
      <c r="I49" s="87"/>
      <c r="J49" s="87"/>
      <c r="K49" s="87"/>
      <c r="O49" s="87"/>
      <c r="R49" s="87"/>
      <c r="T49" s="87"/>
      <c r="U49" s="87"/>
      <c r="V49" s="325"/>
    </row>
    <row r="50" spans="1:22" ht="12.75">
      <c r="A50" s="101" t="s">
        <v>460</v>
      </c>
      <c r="B50" s="319">
        <v>491.8032786885246</v>
      </c>
      <c r="C50" s="65">
        <v>-24</v>
      </c>
      <c r="D50" s="65"/>
      <c r="E50" s="68" t="s">
        <v>423</v>
      </c>
      <c r="F50" s="87"/>
      <c r="G50" s="87"/>
      <c r="H50" s="87"/>
      <c r="I50" s="87"/>
      <c r="J50" s="87"/>
      <c r="K50" s="87"/>
      <c r="O50" s="87"/>
      <c r="R50" s="87"/>
      <c r="T50" s="87"/>
      <c r="U50" s="87"/>
      <c r="V50" s="325"/>
    </row>
    <row r="51" spans="1:22" ht="12.75">
      <c r="A51" s="101" t="s">
        <v>461</v>
      </c>
      <c r="B51" s="319">
        <v>573.7704918032787</v>
      </c>
      <c r="C51" s="65">
        <v>-24</v>
      </c>
      <c r="D51" s="65"/>
      <c r="E51" s="68" t="s">
        <v>423</v>
      </c>
      <c r="F51" s="87"/>
      <c r="G51" s="87"/>
      <c r="H51" s="87"/>
      <c r="I51" s="87"/>
      <c r="J51" s="87"/>
      <c r="K51" s="87"/>
      <c r="O51" s="87"/>
      <c r="R51" s="87"/>
      <c r="T51" s="87"/>
      <c r="U51" s="87"/>
      <c r="V51" s="325"/>
    </row>
    <row r="52" spans="1:22" ht="12.75">
      <c r="A52" s="101" t="s">
        <v>462</v>
      </c>
      <c r="B52" s="319">
        <v>655.7377049180328</v>
      </c>
      <c r="C52" s="65">
        <v>-24</v>
      </c>
      <c r="D52" s="65"/>
      <c r="E52" s="68" t="s">
        <v>423</v>
      </c>
      <c r="F52" s="87"/>
      <c r="G52" s="87"/>
      <c r="H52" s="87"/>
      <c r="I52" s="87"/>
      <c r="J52" s="87"/>
      <c r="K52" s="87"/>
      <c r="O52" s="87"/>
      <c r="R52" s="87"/>
      <c r="T52" s="87"/>
      <c r="U52" s="87"/>
      <c r="V52" s="325"/>
    </row>
    <row r="53" spans="1:22" ht="12.75">
      <c r="A53" s="101" t="s">
        <v>463</v>
      </c>
      <c r="B53" s="319">
        <v>737.7049180327868</v>
      </c>
      <c r="C53" s="65">
        <v>-24</v>
      </c>
      <c r="D53" s="65"/>
      <c r="E53" s="68" t="s">
        <v>423</v>
      </c>
      <c r="F53" s="87"/>
      <c r="G53" s="87"/>
      <c r="H53" s="87"/>
      <c r="I53" s="87"/>
      <c r="J53" s="87"/>
      <c r="K53" s="87"/>
      <c r="O53" s="87"/>
      <c r="R53" s="87"/>
      <c r="T53" s="87"/>
      <c r="U53" s="87"/>
      <c r="V53" s="325"/>
    </row>
    <row r="54" spans="1:22" ht="12.75">
      <c r="A54" s="101" t="s">
        <v>464</v>
      </c>
      <c r="B54" s="319">
        <v>819.672131147541</v>
      </c>
      <c r="C54" s="65">
        <v>-24</v>
      </c>
      <c r="D54" s="65"/>
      <c r="E54" s="68" t="s">
        <v>423</v>
      </c>
      <c r="F54" s="87"/>
      <c r="G54" s="87"/>
      <c r="H54" s="87"/>
      <c r="I54" s="87"/>
      <c r="J54" s="87"/>
      <c r="K54" s="87"/>
      <c r="O54" s="87"/>
      <c r="R54" s="87"/>
      <c r="T54" s="87"/>
      <c r="U54" s="87"/>
      <c r="V54" s="325"/>
    </row>
    <row r="55" spans="1:22" ht="12.75">
      <c r="A55" s="101" t="s">
        <v>465</v>
      </c>
      <c r="B55" s="319">
        <v>901.639344262295</v>
      </c>
      <c r="C55" s="65">
        <v>-24</v>
      </c>
      <c r="D55" s="65"/>
      <c r="E55" s="68" t="s">
        <v>423</v>
      </c>
      <c r="F55" s="87"/>
      <c r="G55" s="87"/>
      <c r="H55" s="87"/>
      <c r="I55" s="87"/>
      <c r="J55" s="87"/>
      <c r="K55" s="87"/>
      <c r="O55" s="87"/>
      <c r="R55" s="87"/>
      <c r="T55" s="87"/>
      <c r="U55" s="87"/>
      <c r="V55" s="325"/>
    </row>
    <row r="56" spans="1:22" ht="12.75">
      <c r="A56" s="101" t="s">
        <v>466</v>
      </c>
      <c r="B56" s="319">
        <v>983.6065573770492</v>
      </c>
      <c r="C56" s="65">
        <v>-24</v>
      </c>
      <c r="D56" s="65"/>
      <c r="E56" s="68" t="s">
        <v>423</v>
      </c>
      <c r="F56" s="87"/>
      <c r="G56" s="87"/>
      <c r="H56" s="87"/>
      <c r="I56" s="87"/>
      <c r="J56" s="87"/>
      <c r="K56" s="87"/>
      <c r="O56" s="87"/>
      <c r="R56" s="87"/>
      <c r="T56" s="87"/>
      <c r="U56" s="87"/>
      <c r="V56" s="325"/>
    </row>
    <row r="57" spans="1:22" ht="12.75">
      <c r="A57" s="101" t="s">
        <v>467</v>
      </c>
      <c r="B57" s="319">
        <v>1065.5737704918033</v>
      </c>
      <c r="C57" s="65">
        <v>-24</v>
      </c>
      <c r="D57" s="65"/>
      <c r="E57" s="68" t="s">
        <v>423</v>
      </c>
      <c r="F57" s="87"/>
      <c r="G57" s="87"/>
      <c r="H57" s="87"/>
      <c r="I57" s="87"/>
      <c r="J57" s="87"/>
      <c r="K57" s="87"/>
      <c r="O57" s="87"/>
      <c r="R57" s="87"/>
      <c r="T57" s="87"/>
      <c r="U57" s="87"/>
      <c r="V57" s="325"/>
    </row>
    <row r="58" spans="1:22" ht="12.75">
      <c r="A58" s="101" t="s">
        <v>468</v>
      </c>
      <c r="B58" s="319">
        <v>1147.5409836065573</v>
      </c>
      <c r="C58" s="65">
        <v>-24</v>
      </c>
      <c r="D58" s="65"/>
      <c r="E58" s="68" t="s">
        <v>423</v>
      </c>
      <c r="F58" s="87"/>
      <c r="G58" s="87"/>
      <c r="H58" s="87"/>
      <c r="I58" s="87"/>
      <c r="J58" s="87"/>
      <c r="K58" s="87"/>
      <c r="O58" s="87"/>
      <c r="R58" s="87"/>
      <c r="T58" s="87"/>
      <c r="U58" s="87"/>
      <c r="V58" s="325"/>
    </row>
    <row r="59" spans="1:22" ht="12.75">
      <c r="A59" s="101" t="s">
        <v>469</v>
      </c>
      <c r="B59" s="319">
        <v>1229.5081967213114</v>
      </c>
      <c r="C59" s="65">
        <v>-24</v>
      </c>
      <c r="D59" s="65"/>
      <c r="E59" s="68" t="s">
        <v>423</v>
      </c>
      <c r="F59" s="87"/>
      <c r="G59" s="87"/>
      <c r="H59" s="87"/>
      <c r="I59" s="87"/>
      <c r="J59" s="87"/>
      <c r="K59" s="87"/>
      <c r="O59" s="87"/>
      <c r="R59" s="87"/>
      <c r="T59" s="87"/>
      <c r="U59" s="87"/>
      <c r="V59" s="325"/>
    </row>
    <row r="60" spans="1:22" ht="12.75">
      <c r="A60" s="101" t="s">
        <v>470</v>
      </c>
      <c r="B60" s="319">
        <v>1311.4754098360656</v>
      </c>
      <c r="C60" s="65">
        <v>-24</v>
      </c>
      <c r="D60" s="303"/>
      <c r="E60" s="68" t="s">
        <v>423</v>
      </c>
      <c r="F60" s="87"/>
      <c r="G60" s="87"/>
      <c r="H60" s="87"/>
      <c r="I60" s="87"/>
      <c r="J60" s="87"/>
      <c r="K60" s="87"/>
      <c r="O60" s="87"/>
      <c r="R60" s="87"/>
      <c r="T60" s="87"/>
      <c r="U60" s="87"/>
      <c r="V60" s="325"/>
    </row>
    <row r="61" spans="1:22" ht="12.75">
      <c r="A61" s="101" t="s">
        <v>471</v>
      </c>
      <c r="B61" s="319">
        <v>1393.4426229508197</v>
      </c>
      <c r="C61" s="65">
        <v>-24</v>
      </c>
      <c r="D61" s="303"/>
      <c r="E61" s="68" t="s">
        <v>423</v>
      </c>
      <c r="F61" s="87"/>
      <c r="G61" s="87"/>
      <c r="H61" s="87"/>
      <c r="I61" s="87"/>
      <c r="J61" s="87"/>
      <c r="K61" s="87"/>
      <c r="O61" s="87"/>
      <c r="R61" s="87"/>
      <c r="T61" s="87"/>
      <c r="U61" s="87"/>
      <c r="V61" s="325"/>
    </row>
    <row r="62" spans="1:22" ht="12.75">
      <c r="A62" s="101" t="s">
        <v>485</v>
      </c>
      <c r="B62" s="319">
        <v>1475.41</v>
      </c>
      <c r="C62" s="65">
        <v>-24</v>
      </c>
      <c r="D62" s="303"/>
      <c r="E62" s="68" t="s">
        <v>423</v>
      </c>
      <c r="F62" s="87"/>
      <c r="G62" s="87"/>
      <c r="H62" s="87"/>
      <c r="I62" s="87"/>
      <c r="J62" s="87"/>
      <c r="K62" s="87"/>
      <c r="O62" s="87"/>
      <c r="R62" s="87"/>
      <c r="T62" s="87"/>
      <c r="U62" s="87"/>
      <c r="V62" s="325"/>
    </row>
    <row r="63" spans="1:5" ht="12.75">
      <c r="A63" s="102" t="s">
        <v>478</v>
      </c>
      <c r="B63" s="13">
        <v>360</v>
      </c>
      <c r="C63" s="13">
        <v>-15.702</v>
      </c>
      <c r="E63" s="9" t="s">
        <v>494</v>
      </c>
    </row>
    <row r="64" spans="1:5" ht="12.75">
      <c r="A64" s="9" t="s">
        <v>479</v>
      </c>
      <c r="B64" s="13">
        <v>580</v>
      </c>
      <c r="C64" s="13">
        <v>-16.798</v>
      </c>
      <c r="E64" s="9" t="s">
        <v>494</v>
      </c>
    </row>
    <row r="65" spans="1:5" ht="12.75">
      <c r="A65" s="9" t="s">
        <v>480</v>
      </c>
      <c r="B65" s="13">
        <v>1240</v>
      </c>
      <c r="C65" s="13">
        <v>-29.61</v>
      </c>
      <c r="E65" s="9" t="s">
        <v>494</v>
      </c>
    </row>
    <row r="66" spans="1:5" ht="12.75">
      <c r="A66" s="102" t="s">
        <v>481</v>
      </c>
      <c r="B66" s="13">
        <v>1655</v>
      </c>
      <c r="C66" s="13">
        <v>-28.06</v>
      </c>
      <c r="E66" s="9" t="s">
        <v>494</v>
      </c>
    </row>
    <row r="67" spans="1:22" s="24" customFormat="1" ht="12.75">
      <c r="A67" s="17" t="s">
        <v>366</v>
      </c>
      <c r="B67" s="9">
        <v>220</v>
      </c>
      <c r="C67" s="136">
        <v>-7.480314960629921</v>
      </c>
      <c r="D67" s="136"/>
      <c r="E67" s="136"/>
      <c r="F67" s="137"/>
      <c r="G67" s="137"/>
      <c r="H67" s="137"/>
      <c r="I67" s="137"/>
      <c r="J67" s="137"/>
      <c r="K67" s="138"/>
      <c r="L67" s="138"/>
      <c r="M67" s="137"/>
      <c r="N67" s="137"/>
      <c r="O67" s="137"/>
      <c r="P67" s="137"/>
      <c r="Q67" s="137"/>
      <c r="R67" s="137"/>
      <c r="S67" s="137"/>
      <c r="T67" s="137"/>
      <c r="U67" s="137"/>
      <c r="V67" s="324"/>
    </row>
    <row r="68" spans="1:22" s="24" customFormat="1" ht="12.75">
      <c r="A68" s="17" t="s">
        <v>365</v>
      </c>
      <c r="B68" s="9">
        <v>375</v>
      </c>
      <c r="C68" s="136">
        <v>-7.480314960629921</v>
      </c>
      <c r="D68" s="136"/>
      <c r="E68" s="136"/>
      <c r="F68" s="137"/>
      <c r="G68" s="137"/>
      <c r="H68" s="137"/>
      <c r="I68" s="137"/>
      <c r="J68" s="137"/>
      <c r="K68" s="138"/>
      <c r="L68" s="138"/>
      <c r="M68" s="137"/>
      <c r="N68" s="137"/>
      <c r="O68" s="137"/>
      <c r="P68" s="137"/>
      <c r="Q68" s="137"/>
      <c r="R68" s="137"/>
      <c r="S68" s="137"/>
      <c r="T68" s="137"/>
      <c r="U68" s="137"/>
      <c r="V68" s="324"/>
    </row>
    <row r="69" spans="1:22" s="24" customFormat="1" ht="12.75">
      <c r="A69" s="17" t="s">
        <v>367</v>
      </c>
      <c r="B69" s="9">
        <v>440</v>
      </c>
      <c r="C69" s="136">
        <v>-7.480314960629921</v>
      </c>
      <c r="D69" s="136"/>
      <c r="E69" s="136"/>
      <c r="F69" s="137"/>
      <c r="G69" s="137"/>
      <c r="H69" s="137"/>
      <c r="I69" s="137"/>
      <c r="J69" s="137"/>
      <c r="K69" s="138"/>
      <c r="L69" s="138"/>
      <c r="M69" s="137"/>
      <c r="N69" s="137"/>
      <c r="O69" s="137"/>
      <c r="P69" s="137"/>
      <c r="Q69" s="137"/>
      <c r="R69" s="137"/>
      <c r="S69" s="137"/>
      <c r="T69" s="137"/>
      <c r="U69" s="137"/>
      <c r="V69" s="324"/>
    </row>
    <row r="70" spans="1:22" s="24" customFormat="1" ht="12.75">
      <c r="A70" s="17" t="s">
        <v>368</v>
      </c>
      <c r="B70" s="9">
        <v>530</v>
      </c>
      <c r="C70" s="136">
        <v>-7.48031496062992</v>
      </c>
      <c r="D70" s="136"/>
      <c r="E70" s="136"/>
      <c r="F70" s="137"/>
      <c r="G70" s="137"/>
      <c r="H70" s="137"/>
      <c r="I70" s="137"/>
      <c r="J70" s="137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7"/>
      <c r="V70" s="324"/>
    </row>
    <row r="71" spans="1:22" s="24" customFormat="1" ht="12.75">
      <c r="A71" s="17" t="s">
        <v>369</v>
      </c>
      <c r="B71" s="9">
        <v>551</v>
      </c>
      <c r="C71" s="136">
        <v>-7.48031496062992</v>
      </c>
      <c r="D71" s="136"/>
      <c r="E71" s="136"/>
      <c r="F71" s="137"/>
      <c r="G71" s="137"/>
      <c r="H71" s="137"/>
      <c r="I71" s="137"/>
      <c r="J71" s="137"/>
      <c r="K71" s="138"/>
      <c r="L71" s="138"/>
      <c r="M71" s="137"/>
      <c r="N71" s="137"/>
      <c r="O71" s="137"/>
      <c r="P71" s="137"/>
      <c r="Q71" s="137"/>
      <c r="R71" s="137"/>
      <c r="S71" s="137"/>
      <c r="T71" s="137"/>
      <c r="U71" s="137"/>
      <c r="V71" s="324"/>
    </row>
    <row r="72" spans="1:22" s="24" customFormat="1" ht="12.75">
      <c r="A72" s="17" t="s">
        <v>370</v>
      </c>
      <c r="B72" s="9">
        <v>605</v>
      </c>
      <c r="C72" s="136">
        <v>-7.48031496062992</v>
      </c>
      <c r="D72" s="136"/>
      <c r="E72" s="136"/>
      <c r="F72" s="137"/>
      <c r="G72" s="137"/>
      <c r="H72" s="137"/>
      <c r="I72" s="137"/>
      <c r="J72" s="137"/>
      <c r="K72" s="138"/>
      <c r="L72" s="138"/>
      <c r="M72" s="137"/>
      <c r="N72" s="137"/>
      <c r="O72" s="137"/>
      <c r="P72" s="137"/>
      <c r="Q72" s="137"/>
      <c r="R72" s="137"/>
      <c r="S72" s="137"/>
      <c r="T72" s="137"/>
      <c r="U72" s="137"/>
      <c r="V72" s="324"/>
    </row>
    <row r="73" spans="1:22" s="24" customFormat="1" ht="12.75">
      <c r="A73" s="17" t="s">
        <v>371</v>
      </c>
      <c r="B73" s="9">
        <v>617</v>
      </c>
      <c r="C73" s="136">
        <v>-7.48031496062992</v>
      </c>
      <c r="D73" s="136"/>
      <c r="E73" s="136"/>
      <c r="F73" s="137"/>
      <c r="G73" s="137"/>
      <c r="H73" s="137"/>
      <c r="I73" s="137"/>
      <c r="J73" s="137"/>
      <c r="K73" s="138"/>
      <c r="L73" s="138"/>
      <c r="M73" s="137"/>
      <c r="N73" s="137"/>
      <c r="O73" s="137"/>
      <c r="P73" s="137"/>
      <c r="Q73" s="137"/>
      <c r="R73" s="137"/>
      <c r="S73" s="137"/>
      <c r="T73" s="137"/>
      <c r="U73" s="137"/>
      <c r="V73" s="324"/>
    </row>
    <row r="74" spans="1:22" s="24" customFormat="1" ht="12.75">
      <c r="A74" s="17" t="s">
        <v>372</v>
      </c>
      <c r="B74" s="9">
        <v>650</v>
      </c>
      <c r="C74" s="136">
        <v>-7.48031496062992</v>
      </c>
      <c r="D74" s="136"/>
      <c r="E74" s="136"/>
      <c r="F74" s="137"/>
      <c r="G74" s="137"/>
      <c r="H74" s="137"/>
      <c r="I74" s="137"/>
      <c r="J74" s="137"/>
      <c r="K74" s="138"/>
      <c r="L74" s="138"/>
      <c r="M74" s="137"/>
      <c r="N74" s="137"/>
      <c r="O74" s="137"/>
      <c r="P74" s="137"/>
      <c r="Q74" s="137"/>
      <c r="R74" s="137"/>
      <c r="S74" s="137"/>
      <c r="T74" s="137"/>
      <c r="U74" s="137"/>
      <c r="V74" s="324"/>
    </row>
    <row r="75" spans="1:22" s="24" customFormat="1" ht="12.75">
      <c r="A75" s="17" t="s">
        <v>373</v>
      </c>
      <c r="B75" s="9">
        <v>772</v>
      </c>
      <c r="C75" s="136">
        <v>-7.48031496062992</v>
      </c>
      <c r="D75" s="136"/>
      <c r="E75" s="136"/>
      <c r="F75" s="137"/>
      <c r="G75" s="137"/>
      <c r="H75" s="137"/>
      <c r="I75" s="137"/>
      <c r="J75" s="137"/>
      <c r="K75" s="138"/>
      <c r="L75" s="138"/>
      <c r="M75" s="137"/>
      <c r="N75" s="137"/>
      <c r="O75" s="137"/>
      <c r="P75" s="137"/>
      <c r="Q75" s="137"/>
      <c r="R75" s="137"/>
      <c r="S75" s="137"/>
      <c r="T75" s="137"/>
      <c r="U75" s="137"/>
      <c r="V75" s="324"/>
    </row>
    <row r="76" spans="1:22" s="24" customFormat="1" ht="12.75">
      <c r="A76" s="17" t="s">
        <v>374</v>
      </c>
      <c r="B76" s="9">
        <v>816</v>
      </c>
      <c r="C76" s="136">
        <v>-7.48031496062992</v>
      </c>
      <c r="D76" s="136"/>
      <c r="E76" s="136"/>
      <c r="F76" s="137"/>
      <c r="G76" s="137"/>
      <c r="H76" s="137"/>
      <c r="I76" s="137"/>
      <c r="J76" s="137"/>
      <c r="K76" s="138"/>
      <c r="L76" s="138"/>
      <c r="M76" s="137"/>
      <c r="N76" s="137"/>
      <c r="O76" s="137"/>
      <c r="P76" s="137"/>
      <c r="Q76" s="137"/>
      <c r="R76" s="137"/>
      <c r="S76" s="137"/>
      <c r="T76" s="137"/>
      <c r="U76" s="137"/>
      <c r="V76" s="324"/>
    </row>
    <row r="77" spans="1:22" s="24" customFormat="1" ht="12.75">
      <c r="A77" s="17" t="s">
        <v>375</v>
      </c>
      <c r="B77" s="9">
        <v>880</v>
      </c>
      <c r="C77" s="136">
        <v>-7.48031496062992</v>
      </c>
      <c r="D77" s="136"/>
      <c r="E77" s="136"/>
      <c r="F77" s="137"/>
      <c r="G77" s="137"/>
      <c r="H77" s="137"/>
      <c r="I77" s="137"/>
      <c r="J77" s="137"/>
      <c r="K77" s="138"/>
      <c r="L77" s="138"/>
      <c r="M77" s="137"/>
      <c r="N77" s="137"/>
      <c r="O77" s="137"/>
      <c r="P77" s="137"/>
      <c r="Q77" s="137"/>
      <c r="R77" s="137"/>
      <c r="S77" s="137"/>
      <c r="T77" s="137"/>
      <c r="U77" s="137"/>
      <c r="V77" s="324"/>
    </row>
    <row r="78" spans="1:22" s="24" customFormat="1" ht="12.75">
      <c r="A78" s="17" t="s">
        <v>376</v>
      </c>
      <c r="B78" s="9">
        <v>1210</v>
      </c>
      <c r="C78" s="136">
        <v>-7.48031496062992</v>
      </c>
      <c r="D78" s="136"/>
      <c r="E78" s="136"/>
      <c r="F78" s="137"/>
      <c r="G78" s="137"/>
      <c r="H78" s="137"/>
      <c r="I78" s="137"/>
      <c r="J78" s="137"/>
      <c r="K78" s="138"/>
      <c r="L78" s="138"/>
      <c r="M78" s="137"/>
      <c r="N78" s="137"/>
      <c r="O78" s="137"/>
      <c r="P78" s="137"/>
      <c r="Q78" s="137"/>
      <c r="R78" s="137"/>
      <c r="S78" s="137"/>
      <c r="T78" s="137"/>
      <c r="U78" s="137"/>
      <c r="V78" s="324"/>
    </row>
    <row r="79" spans="1:22" ht="12.75">
      <c r="A79" s="101"/>
      <c r="B79" s="318"/>
      <c r="C79" s="303"/>
      <c r="D79" s="303"/>
      <c r="E79" s="303"/>
      <c r="F79" s="87"/>
      <c r="G79" s="87"/>
      <c r="H79" s="87"/>
      <c r="I79" s="87"/>
      <c r="J79" s="87"/>
      <c r="K79" s="87"/>
      <c r="O79" s="87"/>
      <c r="R79" s="87"/>
      <c r="T79" s="87"/>
      <c r="U79" s="87"/>
      <c r="V79" s="325"/>
    </row>
    <row r="80" spans="1:22" ht="12.75">
      <c r="A80" s="101"/>
      <c r="B80" s="318"/>
      <c r="C80" s="303"/>
      <c r="D80" s="303"/>
      <c r="E80" s="303"/>
      <c r="F80" s="87"/>
      <c r="G80" s="87"/>
      <c r="H80" s="87"/>
      <c r="I80" s="87"/>
      <c r="J80" s="87"/>
      <c r="K80" s="87"/>
      <c r="O80" s="87"/>
      <c r="R80" s="87"/>
      <c r="T80" s="87"/>
      <c r="U80" s="87"/>
      <c r="V80" s="325"/>
    </row>
    <row r="81" spans="1:22" ht="13.5" thickBot="1">
      <c r="A81" s="101"/>
      <c r="B81" s="318"/>
      <c r="C81" s="303"/>
      <c r="D81" s="303"/>
      <c r="E81" s="303"/>
      <c r="F81" s="87"/>
      <c r="G81" s="87"/>
      <c r="H81" s="87"/>
      <c r="I81" s="87"/>
      <c r="J81" s="87"/>
      <c r="K81" s="87"/>
      <c r="O81" s="87"/>
      <c r="R81" s="87"/>
      <c r="T81" s="87"/>
      <c r="U81" s="87"/>
      <c r="V81" s="325"/>
    </row>
    <row r="82" spans="1:22" s="301" customFormat="1" ht="45.75" thickBot="1">
      <c r="A82" s="298" t="s">
        <v>381</v>
      </c>
      <c r="B82" s="302"/>
      <c r="C82" s="304" t="s">
        <v>303</v>
      </c>
      <c r="D82" s="417" t="s">
        <v>380</v>
      </c>
      <c r="E82" s="418"/>
      <c r="F82" s="299"/>
      <c r="G82" s="299"/>
      <c r="H82" s="299"/>
      <c r="I82" s="299"/>
      <c r="J82" s="299"/>
      <c r="K82" s="299"/>
      <c r="L82" s="300"/>
      <c r="M82" s="300"/>
      <c r="N82" s="300"/>
      <c r="O82" s="299"/>
      <c r="P82" s="300"/>
      <c r="R82" s="299"/>
      <c r="S82" s="300"/>
      <c r="T82" s="299"/>
      <c r="U82" s="299"/>
      <c r="V82" s="326"/>
    </row>
    <row r="83" spans="1:22" s="89" customFormat="1" ht="12.75">
      <c r="A83" s="97" t="s">
        <v>144</v>
      </c>
      <c r="B83" s="90">
        <v>0</v>
      </c>
      <c r="C83" s="62">
        <v>0</v>
      </c>
      <c r="D83" s="65"/>
      <c r="E83" s="65"/>
      <c r="F83" s="88"/>
      <c r="G83" s="88"/>
      <c r="H83" s="88"/>
      <c r="I83" s="88"/>
      <c r="J83" s="88"/>
      <c r="K83" s="88"/>
      <c r="L83" s="10"/>
      <c r="M83" s="10"/>
      <c r="N83" s="10"/>
      <c r="O83" s="88"/>
      <c r="P83" s="88"/>
      <c r="Q83" s="88"/>
      <c r="R83" s="88"/>
      <c r="S83" s="10"/>
      <c r="T83" s="88"/>
      <c r="U83" s="88"/>
      <c r="V83" s="327"/>
    </row>
    <row r="84" spans="1:22" ht="12.75">
      <c r="A84" s="98" t="s">
        <v>147</v>
      </c>
      <c r="B84" s="159">
        <v>1527</v>
      </c>
      <c r="C84" s="65"/>
      <c r="D84" s="65" t="s">
        <v>492</v>
      </c>
      <c r="E84" s="65"/>
      <c r="F84" s="87"/>
      <c r="G84" s="87"/>
      <c r="H84" s="87"/>
      <c r="I84" s="87"/>
      <c r="J84" s="87"/>
      <c r="K84" s="87"/>
      <c r="L84" s="10"/>
      <c r="M84" s="12"/>
      <c r="N84" s="12"/>
      <c r="O84" s="87"/>
      <c r="P84" s="87"/>
      <c r="Q84" s="87"/>
      <c r="R84" s="87" t="s">
        <v>146</v>
      </c>
      <c r="T84" s="87"/>
      <c r="U84" s="87"/>
      <c r="V84" s="325"/>
    </row>
    <row r="85" spans="1:22" s="38" customFormat="1" ht="12.75">
      <c r="A85" s="394" t="s">
        <v>150</v>
      </c>
      <c r="B85" s="395"/>
      <c r="C85" s="396"/>
      <c r="D85" s="396"/>
      <c r="E85" s="396"/>
      <c r="F85" s="397"/>
      <c r="G85" s="397"/>
      <c r="H85" s="397"/>
      <c r="I85" s="397"/>
      <c r="J85" s="397"/>
      <c r="K85" s="397"/>
      <c r="L85" s="40"/>
      <c r="M85" s="40"/>
      <c r="N85" s="40"/>
      <c r="O85" s="397"/>
      <c r="P85" s="397"/>
      <c r="Q85" s="397"/>
      <c r="R85" s="397"/>
      <c r="S85" s="40"/>
      <c r="T85" s="397"/>
      <c r="U85" s="397"/>
      <c r="V85" s="398"/>
    </row>
    <row r="86" spans="1:22" ht="12.75">
      <c r="A86" s="394" t="s">
        <v>488</v>
      </c>
      <c r="B86" s="395"/>
      <c r="C86" s="396"/>
      <c r="D86" s="65"/>
      <c r="E86" s="65"/>
      <c r="F86" s="87"/>
      <c r="G86" s="87"/>
      <c r="H86" s="87"/>
      <c r="I86" s="87"/>
      <c r="J86" s="87"/>
      <c r="K86" s="87"/>
      <c r="L86" s="10"/>
      <c r="M86" s="12"/>
      <c r="N86" s="12"/>
      <c r="O86" s="87"/>
      <c r="P86" s="87"/>
      <c r="Q86" s="87"/>
      <c r="R86" s="87"/>
      <c r="T86" s="87"/>
      <c r="U86" s="87"/>
      <c r="V86" s="325"/>
    </row>
    <row r="87" spans="1:22" s="89" customFormat="1" ht="12.75">
      <c r="A87" s="97" t="s">
        <v>159</v>
      </c>
      <c r="B87" s="159">
        <v>0</v>
      </c>
      <c r="C87" s="392">
        <v>0</v>
      </c>
      <c r="D87" s="65"/>
      <c r="E87" s="65"/>
      <c r="P87" s="88"/>
      <c r="Q87" s="88"/>
      <c r="S87" s="10"/>
      <c r="V87" s="328"/>
    </row>
    <row r="88" spans="1:22" s="13" customFormat="1" ht="12.75">
      <c r="A88" s="99" t="s">
        <v>160</v>
      </c>
      <c r="B88" s="159">
        <v>2093</v>
      </c>
      <c r="C88" s="65"/>
      <c r="D88" s="65"/>
      <c r="E88" s="65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7" t="s">
        <v>146</v>
      </c>
      <c r="Q88" s="87" t="s">
        <v>146</v>
      </c>
      <c r="R88" s="87" t="s">
        <v>146</v>
      </c>
      <c r="S88" s="12" t="s">
        <v>146</v>
      </c>
      <c r="T88" s="87" t="s">
        <v>146</v>
      </c>
      <c r="U88" s="87" t="s">
        <v>146</v>
      </c>
      <c r="V88" s="325" t="s">
        <v>146</v>
      </c>
    </row>
    <row r="89" spans="1:22" s="13" customFormat="1" ht="12.75">
      <c r="A89" s="99" t="s">
        <v>161</v>
      </c>
      <c r="B89" s="159">
        <v>794</v>
      </c>
      <c r="C89" s="65"/>
      <c r="D89" s="65"/>
      <c r="E89" s="65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7" t="s">
        <v>146</v>
      </c>
      <c r="Q89" s="87" t="s">
        <v>146</v>
      </c>
      <c r="R89" s="87"/>
      <c r="S89" s="12" t="s">
        <v>146</v>
      </c>
      <c r="T89" s="87" t="s">
        <v>146</v>
      </c>
      <c r="U89" s="87" t="s">
        <v>146</v>
      </c>
      <c r="V89" s="325" t="s">
        <v>146</v>
      </c>
    </row>
    <row r="90" spans="1:22" s="13" customFormat="1" ht="12.75">
      <c r="A90" s="99" t="s">
        <v>162</v>
      </c>
      <c r="B90" s="159">
        <v>904</v>
      </c>
      <c r="C90" s="65"/>
      <c r="D90" s="65"/>
      <c r="E90" s="65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7"/>
      <c r="Q90" s="87"/>
      <c r="R90" s="87"/>
      <c r="S90" s="12" t="s">
        <v>146</v>
      </c>
      <c r="T90" s="87" t="s">
        <v>146</v>
      </c>
      <c r="U90" s="87" t="s">
        <v>146</v>
      </c>
      <c r="V90" s="325" t="s">
        <v>146</v>
      </c>
    </row>
    <row r="91" spans="1:22" s="13" customFormat="1" ht="12.75">
      <c r="A91" s="99" t="s">
        <v>163</v>
      </c>
      <c r="B91" s="90"/>
      <c r="C91" s="65"/>
      <c r="D91" s="65"/>
      <c r="E91" s="65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7"/>
      <c r="Q91" s="87"/>
      <c r="R91" s="87"/>
      <c r="S91" s="12"/>
      <c r="T91" s="87"/>
      <c r="U91" s="87"/>
      <c r="V91" s="325"/>
    </row>
    <row r="92" spans="1:22" s="13" customFormat="1" ht="12.75">
      <c r="A92" s="99" t="s">
        <v>164</v>
      </c>
      <c r="B92" s="90"/>
      <c r="C92" s="65"/>
      <c r="D92" s="65"/>
      <c r="E92" s="65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7"/>
      <c r="Q92" s="87"/>
      <c r="R92" s="87"/>
      <c r="S92" s="12"/>
      <c r="T92" s="87"/>
      <c r="U92" s="87"/>
      <c r="V92" s="325"/>
    </row>
    <row r="93" spans="1:22" s="13" customFormat="1" ht="12.75">
      <c r="A93" s="99" t="s">
        <v>165</v>
      </c>
      <c r="B93" s="90"/>
      <c r="C93" s="65"/>
      <c r="D93" s="65"/>
      <c r="E93" s="65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7"/>
      <c r="Q93" s="87"/>
      <c r="R93" s="87"/>
      <c r="S93" s="12"/>
      <c r="T93" s="87"/>
      <c r="U93" s="87"/>
      <c r="V93" s="325"/>
    </row>
    <row r="94" spans="1:22" s="89" customFormat="1" ht="12.75">
      <c r="A94" s="97" t="s">
        <v>173</v>
      </c>
      <c r="B94" s="159">
        <v>0</v>
      </c>
      <c r="C94" s="392">
        <v>0</v>
      </c>
      <c r="D94" s="65"/>
      <c r="E94" s="65"/>
      <c r="F94" s="88"/>
      <c r="G94" s="88"/>
      <c r="H94" s="88"/>
      <c r="I94" s="88"/>
      <c r="L94" s="10"/>
      <c r="M94" s="10"/>
      <c r="N94" s="10"/>
      <c r="P94" s="88"/>
      <c r="Q94" s="88"/>
      <c r="R94" s="88"/>
      <c r="S94" s="10"/>
      <c r="T94" s="88"/>
      <c r="U94" s="88"/>
      <c r="V94" s="327"/>
    </row>
    <row r="95" spans="1:22" ht="12.75">
      <c r="A95" s="100" t="s">
        <v>174</v>
      </c>
      <c r="B95" s="159">
        <v>150</v>
      </c>
      <c r="C95" s="392"/>
      <c r="D95" s="65"/>
      <c r="E95" s="65"/>
      <c r="F95" s="87" t="s">
        <v>146</v>
      </c>
      <c r="G95" s="87" t="s">
        <v>146</v>
      </c>
      <c r="H95" s="87" t="s">
        <v>146</v>
      </c>
      <c r="I95" s="87" t="s">
        <v>146</v>
      </c>
      <c r="J95" s="10"/>
      <c r="K95" s="10"/>
      <c r="L95" s="10"/>
      <c r="M95" s="12"/>
      <c r="N95" s="12"/>
      <c r="O95" s="10"/>
      <c r="P95" s="10"/>
      <c r="Q95" s="89"/>
      <c r="R95" s="89"/>
      <c r="S95" s="10"/>
      <c r="T95" s="89"/>
      <c r="U95" s="89"/>
      <c r="V95" s="328"/>
    </row>
    <row r="96" spans="1:22" s="89" customFormat="1" ht="12.75">
      <c r="A96" s="97" t="s">
        <v>178</v>
      </c>
      <c r="B96" s="159">
        <v>0</v>
      </c>
      <c r="C96" s="392">
        <v>0</v>
      </c>
      <c r="D96" s="65"/>
      <c r="E96" s="65"/>
      <c r="F96" s="88"/>
      <c r="G96" s="88"/>
      <c r="H96" s="88"/>
      <c r="I96" s="88"/>
      <c r="J96" s="88"/>
      <c r="K96" s="88"/>
      <c r="L96" s="10"/>
      <c r="M96" s="10"/>
      <c r="N96" s="10"/>
      <c r="O96" s="88"/>
      <c r="P96" s="88"/>
      <c r="Q96" s="88"/>
      <c r="S96" s="10"/>
      <c r="V96" s="328"/>
    </row>
    <row r="97" spans="1:22" ht="12.75">
      <c r="A97" s="98" t="s">
        <v>179</v>
      </c>
      <c r="C97" s="65"/>
      <c r="D97" s="65"/>
      <c r="E97" s="65"/>
      <c r="F97" s="87"/>
      <c r="G97" s="87"/>
      <c r="H97" s="10"/>
      <c r="I97" s="10"/>
      <c r="J97" s="87"/>
      <c r="K97" s="87"/>
      <c r="O97" s="87"/>
      <c r="P97" s="87"/>
      <c r="Q97" s="87"/>
      <c r="R97" s="87"/>
      <c r="T97" s="87"/>
      <c r="U97" s="87"/>
      <c r="V97" s="325"/>
    </row>
    <row r="98" spans="1:22" ht="12.75">
      <c r="A98" s="98" t="s">
        <v>180</v>
      </c>
      <c r="C98" s="65"/>
      <c r="D98" s="65"/>
      <c r="E98" s="65"/>
      <c r="F98" s="87"/>
      <c r="G98" s="87"/>
      <c r="H98" s="10"/>
      <c r="I98" s="10"/>
      <c r="J98" s="87"/>
      <c r="K98" s="87"/>
      <c r="O98" s="87"/>
      <c r="P98" s="87"/>
      <c r="Q98" s="87"/>
      <c r="R98" s="87"/>
      <c r="T98" s="87"/>
      <c r="U98" s="87"/>
      <c r="V98" s="325"/>
    </row>
    <row r="99" spans="1:22" ht="12.75">
      <c r="A99" s="98" t="s">
        <v>181</v>
      </c>
      <c r="C99" s="65"/>
      <c r="D99" s="65"/>
      <c r="E99" s="65"/>
      <c r="F99" s="87"/>
      <c r="G99" s="87"/>
      <c r="H99" s="10"/>
      <c r="I99" s="10"/>
      <c r="J99" s="87"/>
      <c r="K99" s="87"/>
      <c r="O99" s="87"/>
      <c r="P99" s="87"/>
      <c r="Q99" s="87"/>
      <c r="R99" s="87"/>
      <c r="T99" s="87"/>
      <c r="U99" s="87"/>
      <c r="V99" s="325"/>
    </row>
    <row r="100" spans="1:22" ht="12.75">
      <c r="A100" s="98" t="s">
        <v>182</v>
      </c>
      <c r="C100" s="65"/>
      <c r="D100" s="65"/>
      <c r="E100" s="65"/>
      <c r="F100" s="87"/>
      <c r="G100" s="87"/>
      <c r="H100" s="10"/>
      <c r="I100" s="10"/>
      <c r="J100" s="87"/>
      <c r="K100" s="87"/>
      <c r="O100" s="87"/>
      <c r="P100" s="87"/>
      <c r="Q100" s="87"/>
      <c r="R100" s="87"/>
      <c r="T100" s="87"/>
      <c r="U100" s="87"/>
      <c r="V100" s="325"/>
    </row>
    <row r="101" spans="1:22" ht="12.75">
      <c r="A101" s="98" t="s">
        <v>183</v>
      </c>
      <c r="C101" s="65"/>
      <c r="D101" s="65"/>
      <c r="E101" s="65"/>
      <c r="F101" s="87"/>
      <c r="G101" s="87"/>
      <c r="H101" s="10"/>
      <c r="I101" s="10"/>
      <c r="J101" s="87"/>
      <c r="K101" s="87"/>
      <c r="O101" s="87"/>
      <c r="P101" s="87"/>
      <c r="Q101" s="87"/>
      <c r="R101" s="87"/>
      <c r="T101" s="87"/>
      <c r="U101" s="87"/>
      <c r="V101" s="325"/>
    </row>
    <row r="102" spans="1:22" ht="12.75">
      <c r="A102" s="98" t="s">
        <v>184</v>
      </c>
      <c r="C102" s="65"/>
      <c r="D102" s="65"/>
      <c r="E102" s="65"/>
      <c r="F102" s="87"/>
      <c r="G102" s="87"/>
      <c r="H102" s="10"/>
      <c r="I102" s="10"/>
      <c r="J102" s="87"/>
      <c r="K102" s="87"/>
      <c r="O102" s="87"/>
      <c r="P102" s="87"/>
      <c r="Q102" s="87"/>
      <c r="R102" s="87"/>
      <c r="T102" s="87"/>
      <c r="U102" s="87"/>
      <c r="V102" s="325"/>
    </row>
    <row r="103" spans="1:22" ht="12.75">
      <c r="A103" s="98" t="s">
        <v>185</v>
      </c>
      <c r="C103" s="65"/>
      <c r="D103" s="65"/>
      <c r="E103" s="65"/>
      <c r="F103" s="87"/>
      <c r="G103" s="87"/>
      <c r="H103" s="10"/>
      <c r="I103" s="10"/>
      <c r="J103" s="87"/>
      <c r="K103" s="87"/>
      <c r="O103" s="87"/>
      <c r="P103" s="87"/>
      <c r="Q103" s="87"/>
      <c r="R103" s="87"/>
      <c r="T103" s="87"/>
      <c r="U103" s="87"/>
      <c r="V103" s="325"/>
    </row>
    <row r="104" spans="1:22" ht="12.75">
      <c r="A104" s="98" t="s">
        <v>186</v>
      </c>
      <c r="C104" s="65"/>
      <c r="D104" s="65"/>
      <c r="E104" s="65"/>
      <c r="F104" s="87"/>
      <c r="G104" s="87"/>
      <c r="H104" s="10"/>
      <c r="I104" s="10"/>
      <c r="J104" s="87"/>
      <c r="K104" s="87"/>
      <c r="O104" s="87"/>
      <c r="P104" s="87"/>
      <c r="Q104" s="87"/>
      <c r="R104" s="87"/>
      <c r="T104" s="87"/>
      <c r="U104" s="87"/>
      <c r="V104" s="325"/>
    </row>
    <row r="105" spans="1:22" ht="12.75">
      <c r="A105" s="98" t="s">
        <v>187</v>
      </c>
      <c r="C105" s="65"/>
      <c r="D105" s="65"/>
      <c r="E105" s="65"/>
      <c r="F105" s="87"/>
      <c r="G105" s="87"/>
      <c r="H105" s="10"/>
      <c r="I105" s="10"/>
      <c r="J105" s="87"/>
      <c r="K105" s="87"/>
      <c r="O105" s="87"/>
      <c r="P105" s="87"/>
      <c r="Q105" s="87"/>
      <c r="R105" s="87"/>
      <c r="T105" s="87"/>
      <c r="U105" s="87"/>
      <c r="V105" s="325"/>
    </row>
    <row r="106" spans="1:22" ht="12.75">
      <c r="A106" s="296" t="s">
        <v>313</v>
      </c>
      <c r="B106" s="159">
        <v>530</v>
      </c>
      <c r="C106" s="392">
        <v>-23.75</v>
      </c>
      <c r="D106" s="65"/>
      <c r="E106" s="65" t="s">
        <v>379</v>
      </c>
      <c r="F106" s="87"/>
      <c r="G106" s="87"/>
      <c r="H106" s="10"/>
      <c r="I106" s="10"/>
      <c r="J106" s="87"/>
      <c r="K106" s="87"/>
      <c r="O106" s="87"/>
      <c r="P106" s="87"/>
      <c r="Q106" s="87"/>
      <c r="R106" s="87"/>
      <c r="T106" s="87"/>
      <c r="U106" s="87"/>
      <c r="V106" s="325"/>
    </row>
    <row r="107" spans="1:22" ht="12.75">
      <c r="A107" s="98" t="s">
        <v>191</v>
      </c>
      <c r="C107" s="65"/>
      <c r="D107" s="65"/>
      <c r="E107" s="65"/>
      <c r="F107" s="87"/>
      <c r="G107" s="87"/>
      <c r="H107" s="10"/>
      <c r="I107" s="10"/>
      <c r="J107" s="87"/>
      <c r="K107" s="87"/>
      <c r="O107" s="87"/>
      <c r="P107" s="87"/>
      <c r="Q107" s="87"/>
      <c r="R107" s="87"/>
      <c r="T107" s="87"/>
      <c r="U107" s="87"/>
      <c r="V107" s="325"/>
    </row>
    <row r="108" spans="1:22" ht="12.75">
      <c r="A108" s="98" t="s">
        <v>192</v>
      </c>
      <c r="C108" s="65"/>
      <c r="D108" s="65"/>
      <c r="E108" s="65"/>
      <c r="F108" s="87"/>
      <c r="G108" s="87"/>
      <c r="H108" s="10"/>
      <c r="I108" s="10"/>
      <c r="J108" s="87"/>
      <c r="K108" s="87"/>
      <c r="O108" s="87"/>
      <c r="P108" s="87"/>
      <c r="Q108" s="87"/>
      <c r="R108" s="87"/>
      <c r="T108" s="87"/>
      <c r="U108" s="87"/>
      <c r="V108" s="325"/>
    </row>
    <row r="109" spans="1:22" ht="12.75">
      <c r="A109" s="98" t="s">
        <v>193</v>
      </c>
      <c r="C109" s="65"/>
      <c r="D109" s="65"/>
      <c r="E109" s="65"/>
      <c r="F109" s="87"/>
      <c r="G109" s="87"/>
      <c r="H109" s="10"/>
      <c r="I109" s="10"/>
      <c r="J109" s="87"/>
      <c r="K109" s="87"/>
      <c r="O109" s="87"/>
      <c r="P109" s="87"/>
      <c r="Q109" s="87"/>
      <c r="R109" s="87"/>
      <c r="T109" s="87"/>
      <c r="U109" s="87"/>
      <c r="V109" s="325"/>
    </row>
    <row r="110" spans="1:22" ht="12.75">
      <c r="A110" s="296" t="s">
        <v>195</v>
      </c>
      <c r="B110" s="159">
        <v>1053</v>
      </c>
      <c r="C110" s="392">
        <v>-39.3700787401575</v>
      </c>
      <c r="D110" s="65"/>
      <c r="E110" s="65"/>
      <c r="F110" s="87"/>
      <c r="G110" s="87"/>
      <c r="H110" s="10"/>
      <c r="I110" s="10"/>
      <c r="J110" s="87"/>
      <c r="K110" s="87"/>
      <c r="O110" s="87"/>
      <c r="P110" s="87"/>
      <c r="Q110" s="87"/>
      <c r="R110" s="87"/>
      <c r="S110" s="11" t="s">
        <v>146</v>
      </c>
      <c r="T110" s="87" t="s">
        <v>146</v>
      </c>
      <c r="U110" s="87" t="s">
        <v>146</v>
      </c>
      <c r="V110" s="325" t="s">
        <v>146</v>
      </c>
    </row>
    <row r="111" spans="1:22" ht="12.75">
      <c r="A111" s="98" t="s">
        <v>196</v>
      </c>
      <c r="B111" s="159">
        <v>1332</v>
      </c>
      <c r="C111" s="392">
        <v>-44.0153006996416</v>
      </c>
      <c r="D111" s="65"/>
      <c r="E111" s="65" t="s">
        <v>397</v>
      </c>
      <c r="F111" s="87"/>
      <c r="G111" s="87"/>
      <c r="H111" s="10"/>
      <c r="I111" s="10"/>
      <c r="J111" s="87"/>
      <c r="K111" s="87"/>
      <c r="O111" s="87"/>
      <c r="P111" s="87"/>
      <c r="Q111" s="87"/>
      <c r="R111" s="87"/>
      <c r="T111" s="87"/>
      <c r="U111" s="87"/>
      <c r="V111" s="325"/>
    </row>
    <row r="112" spans="1:22" ht="12.75">
      <c r="A112" s="98" t="s">
        <v>197</v>
      </c>
      <c r="C112" s="65"/>
      <c r="D112" s="65"/>
      <c r="E112" s="65"/>
      <c r="F112" s="87"/>
      <c r="G112" s="87"/>
      <c r="H112" s="10"/>
      <c r="I112" s="10"/>
      <c r="J112" s="87"/>
      <c r="K112" s="87"/>
      <c r="O112" s="87"/>
      <c r="P112" s="87"/>
      <c r="Q112" s="87"/>
      <c r="R112" s="87"/>
      <c r="T112" s="87"/>
      <c r="U112" s="87"/>
      <c r="V112" s="325"/>
    </row>
    <row r="113" spans="1:22" ht="12.75">
      <c r="A113" s="98" t="s">
        <v>198</v>
      </c>
      <c r="C113" s="65"/>
      <c r="D113" s="65"/>
      <c r="E113" s="65"/>
      <c r="F113" s="87"/>
      <c r="G113" s="87"/>
      <c r="H113" s="10"/>
      <c r="I113" s="10"/>
      <c r="J113" s="87"/>
      <c r="K113" s="87"/>
      <c r="O113" s="87"/>
      <c r="P113" s="87"/>
      <c r="Q113" s="87"/>
      <c r="R113" s="87"/>
      <c r="T113" s="87"/>
      <c r="U113" s="87"/>
      <c r="V113" s="325" t="s">
        <v>146</v>
      </c>
    </row>
    <row r="114" spans="1:22" ht="12.75">
      <c r="A114" s="98" t="s">
        <v>199</v>
      </c>
      <c r="C114" s="65"/>
      <c r="D114" s="65"/>
      <c r="E114" s="65"/>
      <c r="F114" s="87"/>
      <c r="G114" s="87"/>
      <c r="H114" s="10"/>
      <c r="I114" s="10"/>
      <c r="J114" s="87"/>
      <c r="K114" s="87"/>
      <c r="O114" s="87"/>
      <c r="P114" s="87"/>
      <c r="Q114" s="87"/>
      <c r="R114" s="87"/>
      <c r="T114" s="87"/>
      <c r="U114" s="87"/>
      <c r="V114" s="325"/>
    </row>
    <row r="115" spans="1:22" ht="12.75">
      <c r="A115" s="98" t="s">
        <v>200</v>
      </c>
      <c r="C115" s="65"/>
      <c r="D115" s="65"/>
      <c r="E115" s="65"/>
      <c r="F115" s="87"/>
      <c r="G115" s="87"/>
      <c r="H115" s="10"/>
      <c r="I115" s="10"/>
      <c r="J115" s="87"/>
      <c r="K115" s="87"/>
      <c r="O115" s="87"/>
      <c r="P115" s="87"/>
      <c r="Q115" s="87"/>
      <c r="R115" s="87"/>
      <c r="T115" s="87"/>
      <c r="U115" s="87"/>
      <c r="V115" s="325"/>
    </row>
    <row r="116" spans="1:22" s="89" customFormat="1" ht="12.75">
      <c r="A116" s="97" t="s">
        <v>210</v>
      </c>
      <c r="B116" s="147">
        <v>0</v>
      </c>
      <c r="C116" s="65">
        <v>0</v>
      </c>
      <c r="D116" s="65"/>
      <c r="E116" s="65"/>
      <c r="F116" s="88"/>
      <c r="G116" s="88"/>
      <c r="H116" s="88"/>
      <c r="I116" s="88"/>
      <c r="J116" s="88"/>
      <c r="K116" s="88"/>
      <c r="L116" s="10"/>
      <c r="M116" s="10"/>
      <c r="N116" s="10"/>
      <c r="O116" s="88"/>
      <c r="P116" s="88"/>
      <c r="Q116" s="88"/>
      <c r="R116" s="88"/>
      <c r="S116" s="10"/>
      <c r="T116" s="88"/>
      <c r="U116" s="88"/>
      <c r="V116" s="327"/>
    </row>
    <row r="117" spans="1:22" ht="12.75">
      <c r="A117" s="101" t="s">
        <v>211</v>
      </c>
      <c r="B117" s="159">
        <v>318</v>
      </c>
      <c r="C117" s="392"/>
      <c r="D117" s="65"/>
      <c r="E117" s="65"/>
      <c r="F117" s="87" t="s">
        <v>146</v>
      </c>
      <c r="G117" s="87" t="s">
        <v>146</v>
      </c>
      <c r="H117" s="87" t="s">
        <v>146</v>
      </c>
      <c r="I117" s="87" t="s">
        <v>146</v>
      </c>
      <c r="J117" s="87"/>
      <c r="K117" s="87"/>
      <c r="L117" s="10"/>
      <c r="M117" s="12"/>
      <c r="N117" s="12"/>
      <c r="O117" s="87"/>
      <c r="P117" s="87"/>
      <c r="Q117" s="87"/>
      <c r="R117" s="89"/>
      <c r="S117" s="10"/>
      <c r="T117" s="89"/>
      <c r="U117" s="89"/>
      <c r="V117" s="328"/>
    </row>
    <row r="118" spans="1:22" ht="12.75">
      <c r="A118" s="101" t="s">
        <v>212</v>
      </c>
      <c r="B118" s="159">
        <v>457</v>
      </c>
      <c r="C118" s="392"/>
      <c r="D118" s="65"/>
      <c r="E118" s="65"/>
      <c r="F118" s="87"/>
      <c r="G118" s="87"/>
      <c r="H118" s="87"/>
      <c r="I118" s="87"/>
      <c r="J118" s="87" t="s">
        <v>146</v>
      </c>
      <c r="K118" s="87" t="s">
        <v>146</v>
      </c>
      <c r="L118" s="10"/>
      <c r="M118" s="12"/>
      <c r="N118" s="12"/>
      <c r="O118" s="87" t="s">
        <v>146</v>
      </c>
      <c r="P118" s="87" t="s">
        <v>146</v>
      </c>
      <c r="Q118" s="87" t="s">
        <v>146</v>
      </c>
      <c r="R118" s="89"/>
      <c r="S118" s="10"/>
      <c r="T118" s="89"/>
      <c r="U118" s="89"/>
      <c r="V118" s="328"/>
    </row>
    <row r="119" spans="1:22" s="89" customFormat="1" ht="12.75">
      <c r="A119" s="97" t="s">
        <v>213</v>
      </c>
      <c r="B119" s="147">
        <v>0</v>
      </c>
      <c r="C119" s="65">
        <v>0</v>
      </c>
      <c r="D119" s="65"/>
      <c r="E119" s="65"/>
      <c r="F119" s="88"/>
      <c r="G119" s="88"/>
      <c r="H119" s="88"/>
      <c r="I119" s="88"/>
      <c r="J119" s="88"/>
      <c r="K119" s="88"/>
      <c r="L119" s="10"/>
      <c r="M119" s="10"/>
      <c r="N119" s="10"/>
      <c r="O119" s="88"/>
      <c r="P119" s="88"/>
      <c r="Q119" s="88"/>
      <c r="S119" s="10"/>
      <c r="V119" s="328"/>
    </row>
    <row r="120" spans="1:22" s="160" customFormat="1" ht="12.75">
      <c r="A120" s="168" t="s">
        <v>272</v>
      </c>
      <c r="B120" s="159"/>
      <c r="C120" s="212" t="s">
        <v>294</v>
      </c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S120" s="161"/>
      <c r="V120" s="329"/>
    </row>
    <row r="121" spans="1:22" s="17" customFormat="1" ht="12.75">
      <c r="A121" s="169" t="s">
        <v>234</v>
      </c>
      <c r="B121" s="135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S121" s="19"/>
      <c r="V121" s="330"/>
    </row>
    <row r="122" spans="1:22" s="89" customFormat="1" ht="12.75">
      <c r="A122" s="97" t="s">
        <v>175</v>
      </c>
      <c r="B122" s="90">
        <v>0</v>
      </c>
      <c r="C122" s="65">
        <v>0</v>
      </c>
      <c r="D122" s="65"/>
      <c r="E122" s="65"/>
      <c r="F122" s="88"/>
      <c r="G122" s="88"/>
      <c r="H122" s="88"/>
      <c r="I122" s="88"/>
      <c r="K122" s="88"/>
      <c r="L122" s="10"/>
      <c r="M122" s="10"/>
      <c r="N122" s="10"/>
      <c r="O122" s="88"/>
      <c r="S122" s="10"/>
      <c r="V122" s="328"/>
    </row>
    <row r="123" spans="1:22" ht="12.75">
      <c r="A123" s="162" t="s">
        <v>176</v>
      </c>
      <c r="B123" s="159">
        <v>290</v>
      </c>
      <c r="C123" s="392"/>
      <c r="D123" s="65"/>
      <c r="E123" s="65"/>
      <c r="F123" s="87" t="s">
        <v>146</v>
      </c>
      <c r="G123" s="87" t="s">
        <v>146</v>
      </c>
      <c r="H123" s="87" t="s">
        <v>146</v>
      </c>
      <c r="I123" s="87" t="s">
        <v>146</v>
      </c>
      <c r="J123" s="10"/>
      <c r="K123" s="87"/>
      <c r="L123" s="10"/>
      <c r="M123" s="12"/>
      <c r="N123" s="12"/>
      <c r="O123" s="87"/>
      <c r="P123" s="87"/>
      <c r="Q123" s="87"/>
      <c r="R123" s="89"/>
      <c r="S123" s="10"/>
      <c r="T123" s="89"/>
      <c r="U123" s="89"/>
      <c r="V123" s="328"/>
    </row>
    <row r="124" spans="1:22" ht="12.75">
      <c r="A124" s="162" t="s">
        <v>177</v>
      </c>
      <c r="B124" s="159">
        <v>320</v>
      </c>
      <c r="C124" s="392"/>
      <c r="D124" s="65"/>
      <c r="E124" s="65"/>
      <c r="F124" s="87" t="s">
        <v>146</v>
      </c>
      <c r="G124" s="87" t="s">
        <v>146</v>
      </c>
      <c r="H124" s="87" t="s">
        <v>146</v>
      </c>
      <c r="I124" s="87" t="s">
        <v>146</v>
      </c>
      <c r="J124" s="10"/>
      <c r="K124" s="87"/>
      <c r="L124" s="10"/>
      <c r="M124" s="12"/>
      <c r="N124" s="12"/>
      <c r="O124" s="87"/>
      <c r="P124" s="87"/>
      <c r="Q124" s="87"/>
      <c r="R124" s="89"/>
      <c r="S124" s="10"/>
      <c r="T124" s="89"/>
      <c r="U124" s="89"/>
      <c r="V124" s="328"/>
    </row>
    <row r="125" spans="1:22" ht="12.75">
      <c r="A125" s="162" t="s">
        <v>177</v>
      </c>
      <c r="C125" s="65"/>
      <c r="D125" s="65"/>
      <c r="E125" s="65"/>
      <c r="F125" s="87"/>
      <c r="G125" s="87"/>
      <c r="H125" s="87"/>
      <c r="I125" s="87"/>
      <c r="J125" s="10"/>
      <c r="K125" s="87" t="s">
        <v>146</v>
      </c>
      <c r="L125" s="10"/>
      <c r="M125" s="12"/>
      <c r="N125" s="12"/>
      <c r="O125" s="87" t="s">
        <v>146</v>
      </c>
      <c r="P125" s="87" t="s">
        <v>146</v>
      </c>
      <c r="Q125" s="87" t="s">
        <v>146</v>
      </c>
      <c r="R125" s="89"/>
      <c r="S125" s="10"/>
      <c r="T125" s="89"/>
      <c r="U125" s="89"/>
      <c r="V125" s="328"/>
    </row>
    <row r="126" spans="1:22" s="89" customFormat="1" ht="12.75">
      <c r="A126" s="97" t="s">
        <v>154</v>
      </c>
      <c r="B126" s="90">
        <v>0</v>
      </c>
      <c r="C126" s="65">
        <v>0</v>
      </c>
      <c r="D126" s="65"/>
      <c r="E126" s="65"/>
      <c r="F126" s="88"/>
      <c r="G126" s="88"/>
      <c r="H126" s="88"/>
      <c r="I126" s="88"/>
      <c r="J126" s="88"/>
      <c r="K126" s="88"/>
      <c r="L126" s="10"/>
      <c r="M126" s="10"/>
      <c r="N126" s="10"/>
      <c r="O126" s="88"/>
      <c r="P126" s="88"/>
      <c r="Q126" s="88"/>
      <c r="R126" s="88"/>
      <c r="S126" s="10"/>
      <c r="T126" s="88"/>
      <c r="U126" s="88"/>
      <c r="V126" s="327"/>
    </row>
    <row r="127" spans="1:22" ht="12.75">
      <c r="A127" s="163" t="s">
        <v>155</v>
      </c>
      <c r="B127" s="159">
        <v>181</v>
      </c>
      <c r="C127" s="392"/>
      <c r="D127" s="65"/>
      <c r="E127" s="65"/>
      <c r="F127" s="87" t="s">
        <v>146</v>
      </c>
      <c r="G127" s="87" t="s">
        <v>146</v>
      </c>
      <c r="H127" s="87" t="s">
        <v>146</v>
      </c>
      <c r="I127" s="87" t="s">
        <v>146</v>
      </c>
      <c r="J127" s="87"/>
      <c r="K127" s="87"/>
      <c r="L127" s="10"/>
      <c r="M127" s="12"/>
      <c r="N127" s="12"/>
      <c r="O127" s="87"/>
      <c r="P127" s="87"/>
      <c r="Q127" s="87"/>
      <c r="R127" s="89"/>
      <c r="S127" s="10"/>
      <c r="T127" s="89"/>
      <c r="U127" s="89"/>
      <c r="V127" s="328"/>
    </row>
    <row r="128" spans="1:22" ht="12.75">
      <c r="A128" s="163" t="s">
        <v>156</v>
      </c>
      <c r="B128" s="159"/>
      <c r="C128" s="392"/>
      <c r="D128" s="65"/>
      <c r="E128" s="65"/>
      <c r="F128" s="87"/>
      <c r="G128" s="87"/>
      <c r="H128" s="87"/>
      <c r="I128" s="87"/>
      <c r="J128" s="87"/>
      <c r="K128" s="87"/>
      <c r="L128" s="10"/>
      <c r="M128" s="12"/>
      <c r="N128" s="12"/>
      <c r="O128" s="87"/>
      <c r="P128" s="87"/>
      <c r="Q128" s="87"/>
      <c r="R128" s="89"/>
      <c r="S128" s="10"/>
      <c r="T128" s="89"/>
      <c r="U128" s="89"/>
      <c r="V128" s="328"/>
    </row>
    <row r="129" spans="1:22" ht="12.75">
      <c r="A129" s="163" t="s">
        <v>157</v>
      </c>
      <c r="B129" s="159">
        <v>366</v>
      </c>
      <c r="C129" s="392"/>
      <c r="D129" s="65"/>
      <c r="E129" s="65"/>
      <c r="F129" s="87"/>
      <c r="G129" s="87"/>
      <c r="H129" s="87"/>
      <c r="I129" s="87"/>
      <c r="J129" s="87"/>
      <c r="K129" s="87" t="s">
        <v>146</v>
      </c>
      <c r="L129" s="10"/>
      <c r="M129" s="12"/>
      <c r="N129" s="12"/>
      <c r="O129" s="87" t="s">
        <v>146</v>
      </c>
      <c r="P129" s="87" t="s">
        <v>146</v>
      </c>
      <c r="Q129" s="87" t="s">
        <v>146</v>
      </c>
      <c r="R129" s="89"/>
      <c r="S129" s="10"/>
      <c r="T129" s="89"/>
      <c r="U129" s="89"/>
      <c r="V129" s="328"/>
    </row>
    <row r="130" spans="1:22" ht="12.75">
      <c r="A130" s="163" t="s">
        <v>158</v>
      </c>
      <c r="B130" s="159">
        <v>646</v>
      </c>
      <c r="C130" s="392"/>
      <c r="D130" s="65"/>
      <c r="E130" s="65"/>
      <c r="F130" s="87"/>
      <c r="G130" s="87"/>
      <c r="H130" s="87"/>
      <c r="I130" s="87"/>
      <c r="J130" s="87" t="s">
        <v>146</v>
      </c>
      <c r="K130" s="87"/>
      <c r="L130" s="10"/>
      <c r="M130" s="12"/>
      <c r="N130" s="12"/>
      <c r="O130" s="87"/>
      <c r="P130" s="87"/>
      <c r="Q130" s="87"/>
      <c r="R130" s="89"/>
      <c r="S130" s="10"/>
      <c r="T130" s="89"/>
      <c r="U130" s="89"/>
      <c r="V130" s="328"/>
    </row>
    <row r="131" spans="1:22" ht="12.75">
      <c r="A131" s="163"/>
      <c r="C131" s="65"/>
      <c r="D131" s="65"/>
      <c r="E131" s="65"/>
      <c r="F131" s="87"/>
      <c r="G131" s="87"/>
      <c r="H131" s="87"/>
      <c r="I131" s="87"/>
      <c r="J131" s="87"/>
      <c r="K131" s="87"/>
      <c r="L131" s="10"/>
      <c r="M131" s="12"/>
      <c r="N131" s="12"/>
      <c r="O131" s="87"/>
      <c r="P131" s="87"/>
      <c r="Q131" s="87"/>
      <c r="R131" s="89"/>
      <c r="S131" s="10"/>
      <c r="T131" s="89"/>
      <c r="U131" s="89"/>
      <c r="V131" s="328"/>
    </row>
    <row r="132" spans="1:22" s="165" customFormat="1" ht="12.75">
      <c r="A132" s="167" t="s">
        <v>271</v>
      </c>
      <c r="B132" s="164"/>
      <c r="C132" s="211" t="s">
        <v>295</v>
      </c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S132" s="166"/>
      <c r="V132" s="331"/>
    </row>
    <row r="133" spans="1:22" s="17" customFormat="1" ht="12.75">
      <c r="A133" s="169" t="s">
        <v>234</v>
      </c>
      <c r="B133" s="135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S133" s="19"/>
      <c r="V133" s="330"/>
    </row>
    <row r="134" spans="1:22" s="89" customFormat="1" ht="12.75">
      <c r="A134" s="97" t="s">
        <v>496</v>
      </c>
      <c r="B134" s="90">
        <v>0</v>
      </c>
      <c r="C134" s="65">
        <v>0</v>
      </c>
      <c r="D134" s="65"/>
      <c r="E134" s="65"/>
      <c r="F134" s="88"/>
      <c r="G134" s="88"/>
      <c r="H134" s="10"/>
      <c r="I134" s="10"/>
      <c r="J134" s="88"/>
      <c r="K134" s="88"/>
      <c r="L134" s="10"/>
      <c r="M134" s="10"/>
      <c r="N134" s="10"/>
      <c r="O134" s="88"/>
      <c r="P134" s="88"/>
      <c r="Q134" s="88"/>
      <c r="R134" s="88"/>
      <c r="S134" s="10"/>
      <c r="T134" s="88"/>
      <c r="U134" s="88"/>
      <c r="V134" s="327"/>
    </row>
    <row r="135" spans="1:22" ht="12.75">
      <c r="A135" s="162" t="s">
        <v>262</v>
      </c>
      <c r="B135" s="159">
        <v>210</v>
      </c>
      <c r="C135" s="392"/>
      <c r="D135" s="65"/>
      <c r="E135" s="65"/>
      <c r="F135" s="87" t="s">
        <v>146</v>
      </c>
      <c r="G135" s="87"/>
      <c r="H135" s="87"/>
      <c r="I135" s="87"/>
      <c r="J135" s="87"/>
      <c r="K135" s="87"/>
      <c r="L135" s="10"/>
      <c r="M135" s="12"/>
      <c r="N135" s="12"/>
      <c r="O135" s="87"/>
      <c r="P135" s="87"/>
      <c r="Q135" s="87"/>
      <c r="R135" s="87"/>
      <c r="T135" s="87"/>
      <c r="U135" s="87"/>
      <c r="V135" s="325"/>
    </row>
    <row r="136" spans="1:22" ht="12.75">
      <c r="A136" s="162" t="s">
        <v>201</v>
      </c>
      <c r="B136" s="159">
        <v>369</v>
      </c>
      <c r="C136" s="392"/>
      <c r="D136" s="65"/>
      <c r="E136" s="65"/>
      <c r="F136" s="87"/>
      <c r="G136" s="87" t="s">
        <v>146</v>
      </c>
      <c r="H136" s="87"/>
      <c r="I136" s="87"/>
      <c r="J136" s="87"/>
      <c r="K136" s="87"/>
      <c r="L136" s="10"/>
      <c r="M136" s="12"/>
      <c r="N136" s="12"/>
      <c r="O136" s="87"/>
      <c r="P136" s="87"/>
      <c r="Q136" s="87"/>
      <c r="R136" s="87"/>
      <c r="T136" s="87"/>
      <c r="U136" s="87"/>
      <c r="V136" s="325"/>
    </row>
    <row r="137" spans="1:22" ht="12.75">
      <c r="A137" s="162" t="s">
        <v>202</v>
      </c>
      <c r="B137" s="159">
        <v>375</v>
      </c>
      <c r="C137" s="392"/>
      <c r="D137" s="65"/>
      <c r="E137" s="65"/>
      <c r="F137" s="87"/>
      <c r="G137" s="87"/>
      <c r="H137" s="87"/>
      <c r="I137" s="87"/>
      <c r="J137" s="87"/>
      <c r="K137" s="87" t="s">
        <v>146</v>
      </c>
      <c r="L137" s="10"/>
      <c r="M137" s="12"/>
      <c r="N137" s="12"/>
      <c r="O137" s="87" t="s">
        <v>146</v>
      </c>
      <c r="P137" s="87" t="s">
        <v>146</v>
      </c>
      <c r="Q137" s="87" t="s">
        <v>146</v>
      </c>
      <c r="R137" s="87"/>
      <c r="T137" s="87"/>
      <c r="U137" s="87"/>
      <c r="V137" s="325"/>
    </row>
    <row r="138" spans="1:22" ht="12.75">
      <c r="A138" s="162" t="s">
        <v>203</v>
      </c>
      <c r="B138" s="159">
        <v>439</v>
      </c>
      <c r="C138" s="392"/>
      <c r="D138" s="65"/>
      <c r="E138" s="65"/>
      <c r="F138" s="87"/>
      <c r="G138" s="87"/>
      <c r="H138" s="87"/>
      <c r="I138" s="87"/>
      <c r="J138" s="87" t="s">
        <v>146</v>
      </c>
      <c r="K138" s="87"/>
      <c r="L138" s="10"/>
      <c r="M138" s="12"/>
      <c r="N138" s="12"/>
      <c r="O138" s="87"/>
      <c r="P138" s="87"/>
      <c r="Q138" s="87"/>
      <c r="R138" s="87"/>
      <c r="T138" s="87"/>
      <c r="U138" s="87"/>
      <c r="V138" s="325"/>
    </row>
    <row r="139" spans="1:22" ht="12.75">
      <c r="A139" s="162" t="s">
        <v>204</v>
      </c>
      <c r="B139" s="159">
        <v>350</v>
      </c>
      <c r="C139" s="392"/>
      <c r="D139" s="65"/>
      <c r="E139" s="65"/>
      <c r="F139" s="87" t="s">
        <v>146</v>
      </c>
      <c r="G139" s="87"/>
      <c r="H139" s="87"/>
      <c r="I139" s="87"/>
      <c r="J139" s="87"/>
      <c r="K139" s="87"/>
      <c r="L139" s="10"/>
      <c r="M139" s="12"/>
      <c r="N139" s="12"/>
      <c r="O139" s="87"/>
      <c r="P139" s="87"/>
      <c r="Q139" s="87"/>
      <c r="R139" s="87"/>
      <c r="T139" s="87"/>
      <c r="U139" s="87"/>
      <c r="V139" s="325"/>
    </row>
    <row r="140" spans="1:22" ht="12.75">
      <c r="A140" s="162" t="s">
        <v>205</v>
      </c>
      <c r="B140" s="159">
        <v>497</v>
      </c>
      <c r="C140" s="392"/>
      <c r="D140" s="65"/>
      <c r="E140" s="65"/>
      <c r="F140" s="87"/>
      <c r="G140" s="87" t="s">
        <v>146</v>
      </c>
      <c r="H140" s="87" t="s">
        <v>146</v>
      </c>
      <c r="I140" s="87" t="s">
        <v>146</v>
      </c>
      <c r="J140" s="87"/>
      <c r="K140" s="87"/>
      <c r="L140" s="10"/>
      <c r="M140" s="12"/>
      <c r="N140" s="12"/>
      <c r="O140" s="87"/>
      <c r="P140" s="87"/>
      <c r="Q140" s="87"/>
      <c r="R140" s="87"/>
      <c r="T140" s="87"/>
      <c r="U140" s="87"/>
      <c r="V140" s="325"/>
    </row>
    <row r="141" spans="1:22" ht="12.75">
      <c r="A141" s="162" t="s">
        <v>206</v>
      </c>
      <c r="B141" s="159">
        <v>498</v>
      </c>
      <c r="C141" s="392"/>
      <c r="D141" s="65"/>
      <c r="E141" s="65"/>
      <c r="F141" s="87"/>
      <c r="G141" s="87"/>
      <c r="H141" s="87"/>
      <c r="I141" s="87"/>
      <c r="J141" s="87"/>
      <c r="K141" s="87" t="s">
        <v>146</v>
      </c>
      <c r="L141" s="10"/>
      <c r="M141" s="12"/>
      <c r="N141" s="12"/>
      <c r="O141" s="87" t="s">
        <v>146</v>
      </c>
      <c r="P141" s="87" t="s">
        <v>146</v>
      </c>
      <c r="Q141" s="87" t="s">
        <v>146</v>
      </c>
      <c r="R141" s="87"/>
      <c r="S141" s="11" t="s">
        <v>146</v>
      </c>
      <c r="T141" s="87" t="s">
        <v>146</v>
      </c>
      <c r="U141" s="87" t="s">
        <v>146</v>
      </c>
      <c r="V141" s="325" t="s">
        <v>146</v>
      </c>
    </row>
    <row r="142" spans="1:22" ht="12.75">
      <c r="A142" s="162" t="s">
        <v>207</v>
      </c>
      <c r="B142" s="159">
        <v>448</v>
      </c>
      <c r="C142" s="392"/>
      <c r="D142" s="65"/>
      <c r="E142" s="65"/>
      <c r="F142" s="87"/>
      <c r="G142" s="87"/>
      <c r="H142" s="87" t="s">
        <v>146</v>
      </c>
      <c r="I142" s="87" t="s">
        <v>146</v>
      </c>
      <c r="J142" s="87"/>
      <c r="K142" s="87"/>
      <c r="L142" s="10"/>
      <c r="M142" s="12"/>
      <c r="N142" s="12"/>
      <c r="O142" s="87"/>
      <c r="P142" s="87"/>
      <c r="Q142" s="87"/>
      <c r="R142" s="87"/>
      <c r="T142" s="87"/>
      <c r="U142" s="87"/>
      <c r="V142" s="325"/>
    </row>
    <row r="143" ht="13.5" thickBot="1"/>
    <row r="144" spans="1:22" s="301" customFormat="1" ht="45.75" thickBot="1">
      <c r="A144" s="298" t="s">
        <v>382</v>
      </c>
      <c r="B144" s="302"/>
      <c r="C144" s="305" t="s">
        <v>303</v>
      </c>
      <c r="D144" s="419" t="s">
        <v>380</v>
      </c>
      <c r="E144" s="420"/>
      <c r="F144" s="299"/>
      <c r="G144" s="299"/>
      <c r="H144" s="299"/>
      <c r="I144" s="299"/>
      <c r="J144" s="299"/>
      <c r="K144" s="299"/>
      <c r="L144" s="300"/>
      <c r="M144" s="300"/>
      <c r="N144" s="300"/>
      <c r="O144" s="299"/>
      <c r="P144" s="300"/>
      <c r="R144" s="299"/>
      <c r="S144" s="300"/>
      <c r="T144" s="299"/>
      <c r="U144" s="299"/>
      <c r="V144" s="326"/>
    </row>
    <row r="145" spans="1:22" s="89" customFormat="1" ht="12.75">
      <c r="A145" s="97" t="s">
        <v>223</v>
      </c>
      <c r="B145" s="306"/>
      <c r="C145" s="307"/>
      <c r="D145" s="307"/>
      <c r="E145" s="307"/>
      <c r="F145" s="88"/>
      <c r="G145" s="88"/>
      <c r="H145" s="88"/>
      <c r="I145" s="88"/>
      <c r="J145" s="88"/>
      <c r="K145" s="88"/>
      <c r="L145" s="10"/>
      <c r="M145" s="10"/>
      <c r="N145" s="10"/>
      <c r="O145" s="88"/>
      <c r="P145" s="88"/>
      <c r="Q145" s="88"/>
      <c r="R145" s="88"/>
      <c r="S145" s="10"/>
      <c r="T145" s="88"/>
      <c r="U145" s="88"/>
      <c r="V145" s="327"/>
    </row>
    <row r="146" spans="1:22" s="151" customFormat="1" ht="12.75" hidden="1">
      <c r="A146" s="149" t="s">
        <v>138</v>
      </c>
      <c r="B146" s="150">
        <v>0</v>
      </c>
      <c r="C146" s="151">
        <v>0</v>
      </c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S146" s="152"/>
      <c r="V146" s="332"/>
    </row>
    <row r="147" spans="1:22" ht="12.75">
      <c r="A147" s="98" t="s">
        <v>166</v>
      </c>
      <c r="B147" s="391">
        <v>570</v>
      </c>
      <c r="C147" s="357">
        <v>65.425</v>
      </c>
      <c r="D147" s="89" t="s">
        <v>264</v>
      </c>
      <c r="E147" s="89" t="s">
        <v>269</v>
      </c>
      <c r="F147" s="87" t="s">
        <v>146</v>
      </c>
      <c r="G147" s="87" t="s">
        <v>146</v>
      </c>
      <c r="H147" s="87" t="s">
        <v>146</v>
      </c>
      <c r="I147" s="87" t="s">
        <v>146</v>
      </c>
      <c r="J147" s="87"/>
      <c r="K147" s="87"/>
      <c r="O147" s="87"/>
      <c r="P147" s="87"/>
      <c r="Q147" s="87"/>
      <c r="R147" s="87"/>
      <c r="T147" s="87"/>
      <c r="U147" s="87"/>
      <c r="V147" s="325"/>
    </row>
    <row r="148" spans="1:22" ht="12.75">
      <c r="A148" s="98" t="s">
        <v>167</v>
      </c>
      <c r="B148" s="306">
        <v>605</v>
      </c>
      <c r="C148" s="393">
        <v>67.324</v>
      </c>
      <c r="D148" s="89" t="s">
        <v>263</v>
      </c>
      <c r="E148" s="89" t="s">
        <v>269</v>
      </c>
      <c r="F148" s="87" t="s">
        <v>146</v>
      </c>
      <c r="G148" s="87" t="s">
        <v>146</v>
      </c>
      <c r="H148" s="87" t="s">
        <v>146</v>
      </c>
      <c r="I148" s="87" t="s">
        <v>146</v>
      </c>
      <c r="J148" s="87"/>
      <c r="K148" s="87"/>
      <c r="O148" s="87"/>
      <c r="P148" s="87"/>
      <c r="Q148" s="87"/>
      <c r="R148" s="87"/>
      <c r="T148" s="87"/>
      <c r="U148" s="87"/>
      <c r="V148" s="325"/>
    </row>
    <row r="149" spans="1:22" s="151" customFormat="1" ht="12.75" hidden="1">
      <c r="A149" s="149" t="s">
        <v>138</v>
      </c>
      <c r="B149" s="306">
        <v>0</v>
      </c>
      <c r="C149" s="89">
        <v>0</v>
      </c>
      <c r="D149" s="89"/>
      <c r="E149" s="89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S149" s="152"/>
      <c r="V149" s="332"/>
    </row>
    <row r="150" spans="1:22" ht="12.75">
      <c r="A150" s="98" t="s">
        <v>168</v>
      </c>
      <c r="B150" s="306">
        <v>803</v>
      </c>
      <c r="C150" s="307">
        <v>74.36</v>
      </c>
      <c r="D150" s="89" t="s">
        <v>264</v>
      </c>
      <c r="E150" s="89" t="s">
        <v>270</v>
      </c>
      <c r="F150" s="87"/>
      <c r="G150" s="87"/>
      <c r="H150" s="87"/>
      <c r="I150" s="87"/>
      <c r="J150" s="87" t="s">
        <v>146</v>
      </c>
      <c r="K150" s="87"/>
      <c r="L150" s="11" t="s">
        <v>146</v>
      </c>
      <c r="O150" s="87"/>
      <c r="P150" s="87"/>
      <c r="Q150" s="87"/>
      <c r="R150" s="87"/>
      <c r="T150" s="87"/>
      <c r="U150" s="87"/>
      <c r="V150" s="325"/>
    </row>
    <row r="151" spans="1:22" s="151" customFormat="1" ht="12.75" hidden="1">
      <c r="A151" s="149" t="s">
        <v>138</v>
      </c>
      <c r="B151" s="306">
        <v>0</v>
      </c>
      <c r="C151" s="89">
        <v>0</v>
      </c>
      <c r="D151" s="89"/>
      <c r="E151" s="89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S151" s="152"/>
      <c r="V151" s="332"/>
    </row>
    <row r="152" spans="1:22" ht="12.75">
      <c r="A152" s="98" t="s">
        <v>169</v>
      </c>
      <c r="B152" s="306">
        <v>879</v>
      </c>
      <c r="C152" s="307">
        <v>74.36</v>
      </c>
      <c r="D152" s="89" t="s">
        <v>265</v>
      </c>
      <c r="E152" s="89" t="s">
        <v>269</v>
      </c>
      <c r="F152" s="87"/>
      <c r="G152" s="87"/>
      <c r="H152" s="87"/>
      <c r="I152" s="87"/>
      <c r="J152" s="87"/>
      <c r="K152" s="87" t="s">
        <v>146</v>
      </c>
      <c r="O152" s="87" t="s">
        <v>146</v>
      </c>
      <c r="P152" s="87" t="s">
        <v>146</v>
      </c>
      <c r="Q152" s="87" t="s">
        <v>146</v>
      </c>
      <c r="R152" s="87" t="s">
        <v>146</v>
      </c>
      <c r="T152" s="87"/>
      <c r="U152" s="87"/>
      <c r="V152" s="325"/>
    </row>
    <row r="153" spans="1:22" ht="12.75">
      <c r="A153" s="98" t="s">
        <v>170</v>
      </c>
      <c r="B153" s="306">
        <v>803</v>
      </c>
      <c r="C153" s="307">
        <v>74.36</v>
      </c>
      <c r="D153" s="89" t="s">
        <v>264</v>
      </c>
      <c r="E153" s="89" t="s">
        <v>269</v>
      </c>
      <c r="F153" s="87"/>
      <c r="G153" s="87"/>
      <c r="H153" s="87"/>
      <c r="I153" s="87"/>
      <c r="J153" s="87"/>
      <c r="K153" s="87" t="s">
        <v>146</v>
      </c>
      <c r="O153" s="87" t="s">
        <v>146</v>
      </c>
      <c r="P153" s="87" t="s">
        <v>146</v>
      </c>
      <c r="Q153" s="87" t="s">
        <v>146</v>
      </c>
      <c r="R153" s="87"/>
      <c r="T153" s="87"/>
      <c r="U153" s="87"/>
      <c r="V153" s="325"/>
    </row>
    <row r="154" spans="1:22" s="151" customFormat="1" ht="12.75" hidden="1">
      <c r="A154" s="149" t="s">
        <v>138</v>
      </c>
      <c r="B154" s="306">
        <v>0</v>
      </c>
      <c r="C154" s="89">
        <v>0</v>
      </c>
      <c r="D154" s="89"/>
      <c r="E154" s="89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S154" s="152"/>
      <c r="V154" s="332"/>
    </row>
    <row r="155" spans="1:22" ht="12.75">
      <c r="A155" s="98" t="s">
        <v>221</v>
      </c>
      <c r="B155" s="306">
        <v>690</v>
      </c>
      <c r="C155" s="307">
        <v>75.8</v>
      </c>
      <c r="D155" s="393" t="s">
        <v>263</v>
      </c>
      <c r="E155" s="393" t="s">
        <v>268</v>
      </c>
      <c r="F155" s="87"/>
      <c r="G155" s="87"/>
      <c r="H155" s="87"/>
      <c r="I155" s="87"/>
      <c r="J155" s="87"/>
      <c r="K155" s="87"/>
      <c r="M155" s="11" t="s">
        <v>146</v>
      </c>
      <c r="N155" s="11" t="s">
        <v>146</v>
      </c>
      <c r="O155" s="87"/>
      <c r="P155" s="87"/>
      <c r="Q155" s="87"/>
      <c r="R155" s="87"/>
      <c r="T155" s="87"/>
      <c r="U155" s="87"/>
      <c r="V155" s="325"/>
    </row>
    <row r="156" spans="1:22" s="151" customFormat="1" ht="12.75" hidden="1">
      <c r="A156" s="149" t="s">
        <v>138</v>
      </c>
      <c r="B156" s="306">
        <v>0</v>
      </c>
      <c r="C156" s="89">
        <v>0</v>
      </c>
      <c r="D156" s="89"/>
      <c r="E156" s="89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S156" s="152"/>
      <c r="V156" s="332"/>
    </row>
    <row r="157" spans="1:22" ht="12.75">
      <c r="A157" s="98" t="s">
        <v>171</v>
      </c>
      <c r="B157" s="306">
        <v>1124</v>
      </c>
      <c r="C157" s="307">
        <v>91.38</v>
      </c>
      <c r="D157" s="89" t="s">
        <v>265</v>
      </c>
      <c r="E157" s="89" t="s">
        <v>269</v>
      </c>
      <c r="F157" s="87"/>
      <c r="G157" s="87"/>
      <c r="H157" s="87"/>
      <c r="I157" s="87"/>
      <c r="J157" s="87"/>
      <c r="K157" s="87"/>
      <c r="O157" s="87"/>
      <c r="P157" s="87"/>
      <c r="Q157" s="87"/>
      <c r="R157" s="87"/>
      <c r="S157" s="11" t="s">
        <v>146</v>
      </c>
      <c r="T157" s="87" t="s">
        <v>146</v>
      </c>
      <c r="U157" s="87" t="s">
        <v>146</v>
      </c>
      <c r="V157" s="325" t="s">
        <v>146</v>
      </c>
    </row>
    <row r="158" spans="1:22" ht="12.75">
      <c r="A158" s="98" t="s">
        <v>172</v>
      </c>
      <c r="B158" s="306">
        <v>1045</v>
      </c>
      <c r="C158" s="307">
        <v>91.38</v>
      </c>
      <c r="D158" s="89" t="s">
        <v>264</v>
      </c>
      <c r="E158" s="89" t="s">
        <v>269</v>
      </c>
      <c r="F158" s="87"/>
      <c r="G158" s="87"/>
      <c r="H158" s="87"/>
      <c r="I158" s="87"/>
      <c r="J158" s="87"/>
      <c r="K158" s="87"/>
      <c r="O158" s="87"/>
      <c r="P158" s="87"/>
      <c r="Q158" s="87"/>
      <c r="R158" s="87"/>
      <c r="S158" s="11" t="s">
        <v>146</v>
      </c>
      <c r="T158" s="87" t="s">
        <v>146</v>
      </c>
      <c r="U158" s="87" t="s">
        <v>146</v>
      </c>
      <c r="V158" s="325" t="s">
        <v>146</v>
      </c>
    </row>
    <row r="159" spans="1:22" ht="12.75">
      <c r="A159" s="98"/>
      <c r="B159" s="306">
        <v>1036</v>
      </c>
      <c r="C159" s="307"/>
      <c r="D159" s="307" t="s">
        <v>263</v>
      </c>
      <c r="E159" s="307"/>
      <c r="F159" s="87"/>
      <c r="G159" s="87"/>
      <c r="H159" s="87"/>
      <c r="I159" s="87"/>
      <c r="J159" s="87"/>
      <c r="K159" s="87"/>
      <c r="O159" s="87"/>
      <c r="P159" s="87"/>
      <c r="Q159" s="87"/>
      <c r="R159" s="87"/>
      <c r="T159" s="87"/>
      <c r="U159" s="87"/>
      <c r="V159" s="325"/>
    </row>
    <row r="160" spans="1:22" ht="12.75">
      <c r="A160" s="98"/>
      <c r="B160" s="306">
        <v>1324</v>
      </c>
      <c r="C160" s="307"/>
      <c r="D160" s="307" t="s">
        <v>264</v>
      </c>
      <c r="E160" s="307"/>
      <c r="F160" s="87"/>
      <c r="G160" s="87"/>
      <c r="H160" s="87"/>
      <c r="I160" s="87"/>
      <c r="J160" s="87"/>
      <c r="K160" s="87"/>
      <c r="O160" s="87"/>
      <c r="P160" s="87"/>
      <c r="Q160" s="87"/>
      <c r="R160" s="87"/>
      <c r="T160" s="87"/>
      <c r="U160" s="87"/>
      <c r="V160" s="325"/>
    </row>
    <row r="161" spans="1:22" ht="12.75">
      <c r="A161" s="98"/>
      <c r="B161" s="306">
        <v>1600</v>
      </c>
      <c r="C161" s="307"/>
      <c r="D161" s="307"/>
      <c r="E161" s="307"/>
      <c r="F161" s="87"/>
      <c r="G161" s="87"/>
      <c r="H161" s="87"/>
      <c r="I161" s="87"/>
      <c r="J161" s="87"/>
      <c r="K161" s="87"/>
      <c r="O161" s="87"/>
      <c r="P161" s="87"/>
      <c r="Q161" s="87"/>
      <c r="R161" s="87"/>
      <c r="T161" s="87"/>
      <c r="U161" s="87"/>
      <c r="V161" s="325"/>
    </row>
    <row r="162" spans="1:22" ht="12.75">
      <c r="A162" s="98"/>
      <c r="B162" s="306">
        <v>1716</v>
      </c>
      <c r="C162" s="307"/>
      <c r="D162" s="307"/>
      <c r="E162" s="307"/>
      <c r="F162" s="87"/>
      <c r="G162" s="87"/>
      <c r="H162" s="87"/>
      <c r="I162" s="87"/>
      <c r="J162" s="87"/>
      <c r="K162" s="87"/>
      <c r="O162" s="87"/>
      <c r="P162" s="87"/>
      <c r="Q162" s="87"/>
      <c r="R162" s="87"/>
      <c r="T162" s="87"/>
      <c r="U162" s="87"/>
      <c r="V162" s="325"/>
    </row>
  </sheetData>
  <sheetProtection selectLockedCells="1"/>
  <mergeCells count="4">
    <mergeCell ref="K9:L9"/>
    <mergeCell ref="D82:E82"/>
    <mergeCell ref="D144:E144"/>
    <mergeCell ref="A7:B7"/>
  </mergeCells>
  <hyperlinks>
    <hyperlink ref="A7:B7" location="'Cut Ballast Calculator Cover'!A1" display="Back 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6.7109375" style="0" bestFit="1" customWidth="1"/>
    <col min="2" max="2" width="19.7109375" style="0" bestFit="1" customWidth="1"/>
    <col min="3" max="3" width="10.421875" style="0" bestFit="1" customWidth="1"/>
    <col min="4" max="4" width="20.7109375" style="0" bestFit="1" customWidth="1"/>
  </cols>
  <sheetData>
    <row r="1" spans="1:4" ht="33.75" customHeight="1">
      <c r="A1" s="21" t="s">
        <v>281</v>
      </c>
      <c r="B1" s="21"/>
      <c r="C1" s="21"/>
      <c r="D1" s="21"/>
    </row>
    <row r="2" spans="1:2" ht="12.75">
      <c r="A2">
        <v>2305</v>
      </c>
      <c r="B2" t="s">
        <v>247</v>
      </c>
    </row>
    <row r="3" spans="1:2" ht="12.75">
      <c r="A3" t="s">
        <v>241</v>
      </c>
      <c r="B3" t="s">
        <v>290</v>
      </c>
    </row>
    <row r="4" spans="1:4" ht="12.75">
      <c r="A4" s="33" t="s">
        <v>235</v>
      </c>
      <c r="B4" s="33" t="s">
        <v>236</v>
      </c>
      <c r="C4" s="33" t="s">
        <v>237</v>
      </c>
      <c r="D4" s="33" t="s">
        <v>240</v>
      </c>
    </row>
    <row r="5" spans="1:4" ht="12.75">
      <c r="A5" t="s">
        <v>239</v>
      </c>
      <c r="B5">
        <v>0</v>
      </c>
      <c r="C5">
        <v>0</v>
      </c>
      <c r="D5">
        <v>0</v>
      </c>
    </row>
    <row r="6" spans="1:4" ht="12.75">
      <c r="A6" s="86" t="s">
        <v>238</v>
      </c>
      <c r="B6">
        <v>2</v>
      </c>
      <c r="C6" s="93">
        <f>(10*9.8)/4.4482</f>
        <v>22.031383480958592</v>
      </c>
      <c r="D6">
        <v>4</v>
      </c>
    </row>
    <row r="7" spans="1:4" ht="12.75">
      <c r="A7" s="86"/>
      <c r="C7" s="93" t="s">
        <v>342</v>
      </c>
      <c r="D7" s="86" t="s">
        <v>341</v>
      </c>
    </row>
    <row r="8" spans="1:6" ht="13.5" thickBot="1">
      <c r="A8" t="s">
        <v>340</v>
      </c>
      <c r="B8" s="55">
        <v>0</v>
      </c>
      <c r="C8">
        <v>0</v>
      </c>
      <c r="D8">
        <v>0</v>
      </c>
      <c r="E8" t="s">
        <v>346</v>
      </c>
      <c r="F8" t="s">
        <v>347</v>
      </c>
    </row>
    <row r="9" spans="1:6" ht="12.75">
      <c r="A9" s="93" t="s">
        <v>344</v>
      </c>
      <c r="B9" s="55">
        <v>1</v>
      </c>
      <c r="C9">
        <v>42</v>
      </c>
      <c r="D9">
        <v>70</v>
      </c>
      <c r="E9" s="275">
        <v>42</v>
      </c>
      <c r="F9" s="277">
        <v>2.9921259842519685</v>
      </c>
    </row>
    <row r="10" spans="1:6" ht="13.5" thickBot="1">
      <c r="A10" s="86" t="s">
        <v>345</v>
      </c>
      <c r="B10" s="55">
        <v>2</v>
      </c>
      <c r="C10">
        <v>84</v>
      </c>
      <c r="D10">
        <v>140</v>
      </c>
      <c r="E10" s="276">
        <v>70</v>
      </c>
      <c r="F10" s="278">
        <v>4.52755905511811</v>
      </c>
    </row>
    <row r="11" spans="2:4" ht="12.75">
      <c r="B11" s="55">
        <v>3</v>
      </c>
      <c r="C11">
        <v>126</v>
      </c>
      <c r="D11">
        <v>210</v>
      </c>
    </row>
    <row r="12" spans="2:4" ht="12.75">
      <c r="B12" s="55">
        <v>4</v>
      </c>
      <c r="C12">
        <v>168</v>
      </c>
      <c r="D12">
        <v>280</v>
      </c>
    </row>
    <row r="13" spans="2:4" ht="12.75">
      <c r="B13" s="55">
        <v>5</v>
      </c>
      <c r="C13">
        <v>210</v>
      </c>
      <c r="D13">
        <v>350</v>
      </c>
    </row>
    <row r="14" spans="2:4" ht="12.75">
      <c r="B14" s="55">
        <v>6</v>
      </c>
      <c r="C14">
        <v>252</v>
      </c>
      <c r="D14">
        <v>420</v>
      </c>
    </row>
    <row r="15" spans="2:4" ht="12.75">
      <c r="B15" s="55">
        <v>7</v>
      </c>
      <c r="C15">
        <v>294</v>
      </c>
      <c r="D15">
        <v>490</v>
      </c>
    </row>
    <row r="16" spans="2:4" ht="12.75">
      <c r="B16" s="55">
        <v>8</v>
      </c>
      <c r="C16">
        <v>336</v>
      </c>
      <c r="D16">
        <v>560</v>
      </c>
    </row>
    <row r="17" spans="2:4" ht="12.75">
      <c r="B17" s="55">
        <v>9</v>
      </c>
      <c r="C17">
        <v>378</v>
      </c>
      <c r="D17">
        <v>630</v>
      </c>
    </row>
    <row r="18" spans="2:4" ht="12.75">
      <c r="B18" s="55">
        <v>10</v>
      </c>
      <c r="C18">
        <v>420</v>
      </c>
      <c r="D18">
        <v>700</v>
      </c>
    </row>
    <row r="19" spans="2:4" ht="12.75">
      <c r="B19" s="55">
        <v>11</v>
      </c>
      <c r="C19">
        <v>462</v>
      </c>
      <c r="D19">
        <v>770</v>
      </c>
    </row>
    <row r="20" spans="2:4" ht="12.75">
      <c r="B20" s="55">
        <v>12</v>
      </c>
      <c r="C20">
        <v>504</v>
      </c>
      <c r="D20">
        <v>840</v>
      </c>
    </row>
    <row r="22" spans="1:3" ht="12.75">
      <c r="A22" s="23" t="s">
        <v>246</v>
      </c>
      <c r="B22" s="23">
        <v>2305</v>
      </c>
      <c r="C22" s="23"/>
    </row>
    <row r="23" spans="1:3" ht="12.75">
      <c r="A23" t="s">
        <v>242</v>
      </c>
      <c r="C23">
        <v>0</v>
      </c>
    </row>
    <row r="24" spans="1:3" ht="12.75">
      <c r="A24" t="s">
        <v>243</v>
      </c>
      <c r="C24">
        <v>100</v>
      </c>
    </row>
    <row r="25" spans="1:3" ht="12.75">
      <c r="A25" t="s">
        <v>244</v>
      </c>
      <c r="C25">
        <v>200</v>
      </c>
    </row>
    <row r="26" spans="1:3" ht="12.75">
      <c r="A26" t="s">
        <v>245</v>
      </c>
      <c r="C26">
        <v>144</v>
      </c>
    </row>
    <row r="27" spans="1:3" ht="12.75">
      <c r="A27" t="s">
        <v>445</v>
      </c>
      <c r="C27">
        <v>244</v>
      </c>
    </row>
    <row r="28" spans="1:3" ht="12.75">
      <c r="A28" t="s">
        <v>446</v>
      </c>
      <c r="C28">
        <v>344</v>
      </c>
    </row>
    <row r="30" spans="1:7" ht="12.75">
      <c r="A30" s="23" t="s">
        <v>288</v>
      </c>
      <c r="B30" s="213" t="s">
        <v>297</v>
      </c>
      <c r="C30" s="23"/>
      <c r="D30" t="s">
        <v>39</v>
      </c>
      <c r="E30">
        <v>60</v>
      </c>
      <c r="F30" t="s">
        <v>298</v>
      </c>
      <c r="G30" t="s">
        <v>300</v>
      </c>
    </row>
    <row r="31" spans="1:9" ht="12.75">
      <c r="A31" t="s">
        <v>242</v>
      </c>
      <c r="C31">
        <v>0</v>
      </c>
      <c r="D31" t="s">
        <v>289</v>
      </c>
      <c r="E31">
        <v>45</v>
      </c>
      <c r="F31" t="s">
        <v>298</v>
      </c>
      <c r="G31" t="s">
        <v>301</v>
      </c>
      <c r="I31" t="s">
        <v>302</v>
      </c>
    </row>
    <row r="32" spans="1:4" ht="12.75">
      <c r="A32" t="s">
        <v>291</v>
      </c>
      <c r="C32">
        <v>120</v>
      </c>
      <c r="D32" t="s">
        <v>299</v>
      </c>
    </row>
    <row r="33" spans="1:3" ht="12.75">
      <c r="A33" t="s">
        <v>292</v>
      </c>
      <c r="C33">
        <v>240</v>
      </c>
    </row>
    <row r="34" spans="1:3" ht="12.75">
      <c r="A34" t="s">
        <v>444</v>
      </c>
      <c r="C34">
        <v>360</v>
      </c>
    </row>
    <row r="38" spans="1:3" ht="13.5" customHeight="1">
      <c r="A38" s="23" t="s">
        <v>314</v>
      </c>
      <c r="B38" s="23"/>
      <c r="C38" s="23"/>
    </row>
    <row r="39" spans="1:3" ht="13.5" customHeight="1">
      <c r="A39" s="23" t="s">
        <v>339</v>
      </c>
      <c r="B39" s="23"/>
      <c r="C39" s="23"/>
    </row>
    <row r="40" spans="1:3" ht="13.5" customHeight="1">
      <c r="A40" t="s">
        <v>242</v>
      </c>
      <c r="C40">
        <v>0</v>
      </c>
    </row>
    <row r="41" spans="1:3" ht="12.75">
      <c r="A41" t="s">
        <v>291</v>
      </c>
      <c r="C41">
        <v>120</v>
      </c>
    </row>
    <row r="42" spans="1:3" ht="12.75">
      <c r="A42" t="s">
        <v>292</v>
      </c>
      <c r="C42">
        <v>240</v>
      </c>
    </row>
    <row r="43" spans="1:3" ht="12.75">
      <c r="A43" t="s">
        <v>315</v>
      </c>
      <c r="C43">
        <v>360</v>
      </c>
    </row>
    <row r="44" spans="1:3" ht="12.75">
      <c r="A44" t="s">
        <v>293</v>
      </c>
      <c r="C44">
        <v>90</v>
      </c>
    </row>
    <row r="45" spans="1:3" ht="12.75">
      <c r="A45" t="s">
        <v>316</v>
      </c>
      <c r="C45">
        <v>200</v>
      </c>
    </row>
    <row r="46" spans="1:3" ht="12.75">
      <c r="A46" t="s">
        <v>317</v>
      </c>
      <c r="C46">
        <v>310</v>
      </c>
    </row>
    <row r="48" spans="1:2" ht="12.75">
      <c r="A48" t="s">
        <v>320</v>
      </c>
      <c r="B48" t="s">
        <v>329</v>
      </c>
    </row>
    <row r="49" spans="1:4" ht="12.75">
      <c r="A49" s="34" t="s">
        <v>235</v>
      </c>
      <c r="B49" s="34" t="s">
        <v>236</v>
      </c>
      <c r="C49" s="34" t="s">
        <v>237</v>
      </c>
      <c r="D49" s="34" t="s">
        <v>240</v>
      </c>
    </row>
    <row r="50" spans="1:4" ht="12.75">
      <c r="A50" t="s">
        <v>239</v>
      </c>
      <c r="B50">
        <v>0</v>
      </c>
      <c r="C50">
        <v>0</v>
      </c>
      <c r="D50">
        <v>0</v>
      </c>
    </row>
    <row r="51" spans="1:4" ht="12.75">
      <c r="A51" t="s">
        <v>318</v>
      </c>
      <c r="B51">
        <v>2</v>
      </c>
      <c r="C51" s="93">
        <v>30.26</v>
      </c>
      <c r="D51">
        <v>4</v>
      </c>
    </row>
    <row r="52" spans="1:2" ht="12.75">
      <c r="A52" t="s">
        <v>321</v>
      </c>
      <c r="B52" t="s">
        <v>329</v>
      </c>
    </row>
    <row r="53" spans="1:4" ht="12.75">
      <c r="A53" s="34" t="s">
        <v>235</v>
      </c>
      <c r="B53" s="34" t="s">
        <v>236</v>
      </c>
      <c r="C53" s="34" t="s">
        <v>237</v>
      </c>
      <c r="D53" s="34" t="s">
        <v>240</v>
      </c>
    </row>
    <row r="54" spans="1:4" ht="12.75">
      <c r="A54" t="s">
        <v>239</v>
      </c>
      <c r="B54">
        <v>0</v>
      </c>
      <c r="C54">
        <v>0</v>
      </c>
      <c r="D54">
        <v>0</v>
      </c>
    </row>
    <row r="55" spans="1:4" ht="12.75" customHeight="1">
      <c r="A55" t="s">
        <v>319</v>
      </c>
      <c r="B55">
        <v>2</v>
      </c>
      <c r="C55" s="93">
        <v>23.4598</v>
      </c>
      <c r="D55">
        <v>4</v>
      </c>
    </row>
    <row r="56" ht="12.75" customHeight="1"/>
    <row r="57" spans="1:3" ht="12.75">
      <c r="A57" s="23" t="s">
        <v>322</v>
      </c>
      <c r="B57" s="23"/>
      <c r="C57" s="23"/>
    </row>
    <row r="58" spans="1:3" ht="12.75">
      <c r="A58" s="23" t="s">
        <v>350</v>
      </c>
      <c r="B58" s="23"/>
      <c r="C58" s="23"/>
    </row>
    <row r="59" spans="1:3" ht="12.75">
      <c r="A59" t="s">
        <v>242</v>
      </c>
      <c r="C59">
        <v>0</v>
      </c>
    </row>
    <row r="60" spans="1:3" ht="12.75">
      <c r="A60" t="s">
        <v>323</v>
      </c>
      <c r="C60">
        <v>110</v>
      </c>
    </row>
    <row r="61" spans="1:3" ht="12.75">
      <c r="A61" t="s">
        <v>324</v>
      </c>
      <c r="C61">
        <v>220</v>
      </c>
    </row>
    <row r="62" spans="1:3" ht="12.75">
      <c r="A62" t="s">
        <v>325</v>
      </c>
      <c r="C62">
        <v>330</v>
      </c>
    </row>
    <row r="63" spans="1:3" ht="12.75">
      <c r="A63" t="s">
        <v>326</v>
      </c>
      <c r="C63">
        <v>220</v>
      </c>
    </row>
    <row r="64" spans="1:3" ht="12.75">
      <c r="A64" t="s">
        <v>327</v>
      </c>
      <c r="C64">
        <v>440</v>
      </c>
    </row>
    <row r="65" spans="1:3" ht="12.75">
      <c r="A65" t="s">
        <v>328</v>
      </c>
      <c r="C65">
        <v>660</v>
      </c>
    </row>
    <row r="67" ht="12.75">
      <c r="A67" t="s">
        <v>338</v>
      </c>
    </row>
    <row r="68" spans="1:4" ht="12.75">
      <c r="A68" s="34" t="s">
        <v>235</v>
      </c>
      <c r="B68" s="34" t="s">
        <v>236</v>
      </c>
      <c r="C68" s="34" t="s">
        <v>237</v>
      </c>
      <c r="D68" s="34" t="s">
        <v>240</v>
      </c>
    </row>
    <row r="69" spans="1:2" ht="12.75">
      <c r="A69" t="s">
        <v>239</v>
      </c>
      <c r="B69">
        <v>0</v>
      </c>
    </row>
    <row r="70" spans="1:4" ht="12.75">
      <c r="A70" t="s">
        <v>337</v>
      </c>
      <c r="B70" s="93">
        <f>D70/2</f>
        <v>1.535433070866142</v>
      </c>
      <c r="C70" s="93">
        <v>33.4595</v>
      </c>
      <c r="D70" s="93">
        <f>78/25.4</f>
        <v>3.070866141732284</v>
      </c>
    </row>
    <row r="72" spans="1:3" ht="12.75">
      <c r="A72" t="s">
        <v>352</v>
      </c>
      <c r="C72" t="s">
        <v>353</v>
      </c>
    </row>
    <row r="73" spans="1:4" ht="12.75">
      <c r="A73" s="34" t="s">
        <v>235</v>
      </c>
      <c r="B73" s="34" t="s">
        <v>236</v>
      </c>
      <c r="C73" s="34" t="s">
        <v>237</v>
      </c>
      <c r="D73" s="34" t="s">
        <v>240</v>
      </c>
    </row>
    <row r="74" spans="1:2" ht="12.75">
      <c r="A74" t="s">
        <v>239</v>
      </c>
      <c r="B74">
        <v>0</v>
      </c>
    </row>
    <row r="75" spans="1:4" ht="12.75">
      <c r="A75" s="86" t="s">
        <v>351</v>
      </c>
      <c r="B75" s="93">
        <f>D75/2</f>
        <v>1.535433070866142</v>
      </c>
      <c r="C75" s="93">
        <v>33.4595</v>
      </c>
      <c r="D75" s="93">
        <f>78/25.4</f>
        <v>3.070866141732284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U57" sqref="U57"/>
    </sheetView>
  </sheetViews>
  <sheetFormatPr defaultColWidth="9.140625" defaultRowHeight="12.75"/>
  <cols>
    <col min="1" max="1" width="8.57421875" style="0" customWidth="1"/>
    <col min="2" max="5" width="3.28125" style="0" customWidth="1"/>
    <col min="6" max="8" width="3.28125" style="55" customWidth="1"/>
    <col min="9" max="10" width="3.28125" style="0" customWidth="1"/>
    <col min="11" max="14" width="3.140625" style="0" customWidth="1"/>
    <col min="15" max="18" width="3.28125" style="0" customWidth="1"/>
    <col min="19" max="19" width="30.140625" style="32" customWidth="1"/>
    <col min="20" max="20" width="13.00390625" style="32" customWidth="1"/>
    <col min="21" max="21" width="9.00390625" style="32" customWidth="1"/>
    <col min="22" max="22" width="9.00390625" style="32" hidden="1" customWidth="1"/>
    <col min="23" max="23" width="9.00390625" style="32" customWidth="1"/>
    <col min="24" max="24" width="12.7109375" style="0" customWidth="1"/>
    <col min="25" max="25" width="12.7109375" style="55" customWidth="1"/>
    <col min="26" max="26" width="9.57421875" style="0" bestFit="1" customWidth="1"/>
    <col min="27" max="27" width="9.8515625" style="0" customWidth="1"/>
    <col min="28" max="28" width="9.28125" style="0" bestFit="1" customWidth="1"/>
    <col min="29" max="29" width="9.28125" style="0" customWidth="1"/>
    <col min="30" max="30" width="8.28125" style="0" customWidth="1"/>
    <col min="31" max="31" width="13.7109375" style="0" customWidth="1"/>
    <col min="32" max="33" width="11.421875" style="0" customWidth="1"/>
    <col min="34" max="16384" width="9.140625" style="25" customWidth="1"/>
  </cols>
  <sheetData>
    <row r="1" spans="19:27" ht="13.5" thickBot="1">
      <c r="S1" s="75" t="s">
        <v>131</v>
      </c>
      <c r="T1" s="76"/>
      <c r="Z1" s="75" t="s">
        <v>131</v>
      </c>
      <c r="AA1" s="76"/>
    </row>
    <row r="2" spans="19:27" ht="12.75">
      <c r="S2" s="1" t="s">
        <v>116</v>
      </c>
      <c r="T2" s="77">
        <v>0</v>
      </c>
      <c r="X2">
        <f>5/85</f>
        <v>0.058823529411764705</v>
      </c>
      <c r="Z2" s="1" t="s">
        <v>116</v>
      </c>
      <c r="AA2" s="77">
        <v>0</v>
      </c>
    </row>
    <row r="3" spans="19:27" ht="13.5" thickBot="1">
      <c r="S3" s="80" t="s">
        <v>275</v>
      </c>
      <c r="T3" s="81">
        <v>10</v>
      </c>
      <c r="X3">
        <f>0.75*1.07</f>
        <v>0.8025</v>
      </c>
      <c r="Z3" s="5" t="s">
        <v>117</v>
      </c>
      <c r="AA3" s="78">
        <v>8.34</v>
      </c>
    </row>
    <row r="4" spans="19:27" ht="12.75">
      <c r="S4" s="1" t="s">
        <v>116</v>
      </c>
      <c r="T4" s="351">
        <v>0</v>
      </c>
      <c r="X4">
        <f>0.8/0.75</f>
        <v>1.0666666666666667</v>
      </c>
      <c r="Z4" s="5" t="s">
        <v>118</v>
      </c>
      <c r="AA4" s="79">
        <f>1.2*AA3</f>
        <v>10.008</v>
      </c>
    </row>
    <row r="5" spans="19:27" ht="13.5" thickBot="1">
      <c r="S5" s="80" t="s">
        <v>451</v>
      </c>
      <c r="T5" s="81">
        <v>0</v>
      </c>
      <c r="X5">
        <f>X4*0.75</f>
        <v>0.8</v>
      </c>
      <c r="Z5" s="80" t="s">
        <v>119</v>
      </c>
      <c r="AA5" s="81">
        <f>1.3*AA3</f>
        <v>10.842</v>
      </c>
    </row>
    <row r="6" ht="12.75"/>
    <row r="7" ht="12.75"/>
    <row r="8" ht="12.75"/>
    <row r="9" ht="13.5" thickBot="1"/>
    <row r="10" spans="1:33" ht="12.75" customHeight="1">
      <c r="A10" s="1"/>
      <c r="B10" s="268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26"/>
      <c r="T10" s="27"/>
      <c r="U10" s="28" t="s">
        <v>0</v>
      </c>
      <c r="V10" s="269">
        <v>0.75</v>
      </c>
      <c r="W10" s="269">
        <v>0.8</v>
      </c>
      <c r="X10" s="3" t="s">
        <v>4</v>
      </c>
      <c r="Y10" s="2" t="s">
        <v>489</v>
      </c>
      <c r="Z10" s="2" t="s">
        <v>5</v>
      </c>
      <c r="AA10" s="2" t="s">
        <v>5</v>
      </c>
      <c r="AB10" s="2" t="s">
        <v>5</v>
      </c>
      <c r="AC10" s="2" t="s">
        <v>6</v>
      </c>
      <c r="AD10" s="2" t="s">
        <v>6</v>
      </c>
      <c r="AE10" s="2" t="s">
        <v>6</v>
      </c>
      <c r="AF10" s="4"/>
      <c r="AG10" s="364" t="s">
        <v>7</v>
      </c>
    </row>
    <row r="11" spans="1:33" ht="13.5" customHeight="1">
      <c r="A11" s="5"/>
      <c r="B11" s="423">
        <v>2305</v>
      </c>
      <c r="C11" s="425">
        <v>2320</v>
      </c>
      <c r="D11" s="427">
        <v>2520</v>
      </c>
      <c r="E11" s="427">
        <v>2720</v>
      </c>
      <c r="F11" s="438">
        <v>3005</v>
      </c>
      <c r="G11" s="435" t="s">
        <v>257</v>
      </c>
      <c r="H11" s="435" t="s">
        <v>258</v>
      </c>
      <c r="I11" s="433">
        <v>3120</v>
      </c>
      <c r="J11" s="433">
        <v>3320</v>
      </c>
      <c r="K11" s="433">
        <v>3520</v>
      </c>
      <c r="L11" s="433">
        <v>3720</v>
      </c>
      <c r="M11" s="431">
        <v>4005</v>
      </c>
      <c r="N11" s="431">
        <v>4105</v>
      </c>
      <c r="O11" s="429">
        <v>4120</v>
      </c>
      <c r="P11" s="429">
        <v>4320</v>
      </c>
      <c r="Q11" s="429">
        <v>4520</v>
      </c>
      <c r="R11" s="429">
        <v>4720</v>
      </c>
      <c r="S11" s="29" t="s">
        <v>4</v>
      </c>
      <c r="T11" s="29"/>
      <c r="U11" s="30" t="s">
        <v>8</v>
      </c>
      <c r="V11" s="30" t="s">
        <v>9</v>
      </c>
      <c r="W11" s="30" t="s">
        <v>9</v>
      </c>
      <c r="X11" s="6" t="s">
        <v>11</v>
      </c>
      <c r="Y11" s="6" t="s">
        <v>490</v>
      </c>
      <c r="Z11" s="6" t="s">
        <v>3</v>
      </c>
      <c r="AA11" s="6" t="s">
        <v>12</v>
      </c>
      <c r="AB11" s="6" t="s">
        <v>13</v>
      </c>
      <c r="AC11" s="6" t="s">
        <v>3</v>
      </c>
      <c r="AD11" s="6" t="s">
        <v>12</v>
      </c>
      <c r="AE11" s="6" t="s">
        <v>13</v>
      </c>
      <c r="AF11" s="7" t="s">
        <v>4</v>
      </c>
      <c r="AG11" s="365" t="s">
        <v>10</v>
      </c>
    </row>
    <row r="12" spans="1:33" ht="24.75" customHeight="1" thickBot="1">
      <c r="A12" s="80"/>
      <c r="B12" s="424"/>
      <c r="C12" s="426"/>
      <c r="D12" s="428"/>
      <c r="E12" s="428"/>
      <c r="F12" s="439"/>
      <c r="G12" s="436"/>
      <c r="H12" s="436"/>
      <c r="I12" s="424"/>
      <c r="J12" s="434"/>
      <c r="K12" s="434"/>
      <c r="L12" s="434"/>
      <c r="M12" s="432"/>
      <c r="N12" s="432"/>
      <c r="O12" s="430"/>
      <c r="P12" s="430"/>
      <c r="Q12" s="430"/>
      <c r="R12" s="430"/>
      <c r="S12" s="270" t="s">
        <v>14</v>
      </c>
      <c r="T12" s="271" t="s">
        <v>306</v>
      </c>
      <c r="U12" s="272" t="s">
        <v>15</v>
      </c>
      <c r="V12" s="273" t="s">
        <v>286</v>
      </c>
      <c r="W12" s="273" t="s">
        <v>286</v>
      </c>
      <c r="X12" s="264" t="s">
        <v>16</v>
      </c>
      <c r="Y12" s="399" t="s">
        <v>491</v>
      </c>
      <c r="Z12" s="264" t="s">
        <v>12</v>
      </c>
      <c r="AA12" s="264" t="s">
        <v>17</v>
      </c>
      <c r="AB12" s="264" t="s">
        <v>2</v>
      </c>
      <c r="AC12" s="264" t="s">
        <v>12</v>
      </c>
      <c r="AD12" s="264" t="s">
        <v>17</v>
      </c>
      <c r="AE12" s="264" t="s">
        <v>2</v>
      </c>
      <c r="AF12" s="274" t="s">
        <v>18</v>
      </c>
      <c r="AG12" s="366" t="s">
        <v>19</v>
      </c>
    </row>
    <row r="13" spans="1:33" ht="12.75">
      <c r="A13" s="8"/>
      <c r="B13" s="8"/>
      <c r="C13" s="8"/>
      <c r="D13" s="8"/>
      <c r="E13" s="8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31"/>
      <c r="T13" s="31"/>
      <c r="U13" s="233"/>
      <c r="V13" s="233"/>
      <c r="W13" s="233"/>
      <c r="X13" s="8"/>
      <c r="Y13" s="14"/>
      <c r="Z13" s="14"/>
      <c r="AA13" s="14"/>
      <c r="AB13" s="14"/>
      <c r="AC13" s="14"/>
      <c r="AD13" s="14"/>
      <c r="AE13" s="14"/>
      <c r="AF13" s="14"/>
      <c r="AG13" s="367"/>
    </row>
    <row r="14" spans="1:33" ht="12.75">
      <c r="A14" s="13" t="s">
        <v>20</v>
      </c>
      <c r="B14" s="9"/>
      <c r="C14" s="9"/>
      <c r="D14" s="9"/>
      <c r="E14" s="9"/>
      <c r="F14" s="11"/>
      <c r="G14" s="11"/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13"/>
      <c r="T14" s="13"/>
      <c r="U14" s="12"/>
      <c r="V14" s="12"/>
      <c r="W14" s="12"/>
      <c r="X14" s="9"/>
      <c r="Y14" s="11"/>
      <c r="Z14" s="11"/>
      <c r="AA14" s="11"/>
      <c r="AB14" s="11"/>
      <c r="AC14" s="11"/>
      <c r="AD14" s="11"/>
      <c r="AE14" s="11"/>
      <c r="AF14" s="11"/>
      <c r="AG14" s="368"/>
    </row>
    <row r="15" spans="1:33" ht="12.75">
      <c r="A15" s="12">
        <v>0.63</v>
      </c>
      <c r="B15" s="9"/>
      <c r="C15" s="9"/>
      <c r="D15" s="9"/>
      <c r="E15" s="9"/>
      <c r="F15" s="11"/>
      <c r="G15" s="11"/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13"/>
      <c r="T15" s="13"/>
      <c r="U15" s="12"/>
      <c r="V15" s="12"/>
      <c r="W15" s="12"/>
      <c r="X15" s="9"/>
      <c r="Y15" s="11"/>
      <c r="Z15" s="11"/>
      <c r="AA15" s="11"/>
      <c r="AB15" s="11"/>
      <c r="AC15" s="11"/>
      <c r="AD15" s="11"/>
      <c r="AE15" s="11"/>
      <c r="AF15" s="11"/>
      <c r="AG15" s="368"/>
    </row>
    <row r="16" spans="1:33" ht="12.75">
      <c r="A16" s="9"/>
      <c r="B16" s="9"/>
      <c r="C16" s="9"/>
      <c r="D16" s="9"/>
      <c r="E16" s="9"/>
      <c r="F16" s="11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13" t="s">
        <v>21</v>
      </c>
      <c r="T16" s="13"/>
      <c r="U16" s="12"/>
      <c r="V16" s="12"/>
      <c r="W16" s="12"/>
      <c r="X16" s="9"/>
      <c r="Y16" s="11"/>
      <c r="Z16" s="11"/>
      <c r="AA16" s="11"/>
      <c r="AB16" s="11"/>
      <c r="AC16" s="11"/>
      <c r="AD16" s="11"/>
      <c r="AE16" s="11"/>
      <c r="AF16" s="11"/>
      <c r="AG16" s="368"/>
    </row>
    <row r="17" spans="1:33" ht="12.75">
      <c r="A17" s="8"/>
      <c r="B17" s="8"/>
      <c r="C17" s="8"/>
      <c r="D17" s="8"/>
      <c r="E17" s="8"/>
      <c r="F17" s="14"/>
      <c r="G17" s="14"/>
      <c r="H17" s="14"/>
      <c r="I17" s="8"/>
      <c r="J17" s="8"/>
      <c r="K17" s="8"/>
      <c r="L17" s="8"/>
      <c r="M17" s="8"/>
      <c r="N17" s="8"/>
      <c r="O17" s="8"/>
      <c r="P17" s="8"/>
      <c r="Q17" s="8"/>
      <c r="R17" s="8"/>
      <c r="S17" s="31"/>
      <c r="T17" s="31"/>
      <c r="U17" s="31"/>
      <c r="V17" s="31"/>
      <c r="W17" s="31"/>
      <c r="X17" s="8"/>
      <c r="Y17" s="14"/>
      <c r="Z17" s="8"/>
      <c r="AA17" s="8"/>
      <c r="AB17" s="8"/>
      <c r="AC17" s="8"/>
      <c r="AD17" s="8"/>
      <c r="AE17" s="8"/>
      <c r="AF17" s="8"/>
      <c r="AG17" s="367"/>
    </row>
    <row r="18" spans="1:33" ht="22.5">
      <c r="A18" s="44" t="s">
        <v>1</v>
      </c>
      <c r="B18" s="82" t="s">
        <v>23</v>
      </c>
      <c r="C18" s="44"/>
      <c r="D18" s="44"/>
      <c r="E18" s="44"/>
      <c r="F18" s="49"/>
      <c r="G18" s="49"/>
      <c r="H18" s="49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 t="s">
        <v>22</v>
      </c>
      <c r="T18" s="44"/>
      <c r="U18" s="48">
        <f>22*2.2</f>
        <v>48.400000000000006</v>
      </c>
      <c r="V18" s="48">
        <v>12</v>
      </c>
      <c r="W18" s="48">
        <f>V18*1.0667</f>
        <v>12.8004</v>
      </c>
      <c r="X18" s="49" t="s">
        <v>24</v>
      </c>
      <c r="Y18" s="49">
        <f>807*2.2</f>
        <v>1775.4</v>
      </c>
      <c r="Z18" s="44" t="s">
        <v>25</v>
      </c>
      <c r="AA18" s="49">
        <v>25</v>
      </c>
      <c r="AB18" s="44" t="s">
        <v>26</v>
      </c>
      <c r="AC18" s="49" t="s">
        <v>27</v>
      </c>
      <c r="AD18" s="49">
        <v>32</v>
      </c>
      <c r="AE18" s="83" t="s">
        <v>28</v>
      </c>
      <c r="AF18" s="49" t="s">
        <v>29</v>
      </c>
      <c r="AG18" s="369"/>
    </row>
    <row r="19" spans="1:33" ht="22.5">
      <c r="A19" s="16" t="s">
        <v>1</v>
      </c>
      <c r="B19" s="35" t="s">
        <v>23</v>
      </c>
      <c r="C19" s="16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 t="s">
        <v>33</v>
      </c>
      <c r="T19" s="16"/>
      <c r="U19" s="36">
        <v>40</v>
      </c>
      <c r="V19" s="36">
        <v>12</v>
      </c>
      <c r="W19" s="36">
        <f aca="true" t="shared" si="0" ref="W19:W53">V19*1.0667</f>
        <v>12.8004</v>
      </c>
      <c r="X19" s="15" t="s">
        <v>34</v>
      </c>
      <c r="Y19" s="15">
        <f>807*2.2</f>
        <v>1775.4</v>
      </c>
      <c r="Z19" s="15" t="s">
        <v>25</v>
      </c>
      <c r="AA19" s="15">
        <v>25</v>
      </c>
      <c r="AB19" s="16" t="s">
        <v>26</v>
      </c>
      <c r="AC19" s="15" t="s">
        <v>27</v>
      </c>
      <c r="AD19" s="15">
        <v>32</v>
      </c>
      <c r="AE19" s="37" t="s">
        <v>28</v>
      </c>
      <c r="AF19" s="15" t="s">
        <v>29</v>
      </c>
      <c r="AG19" s="370"/>
    </row>
    <row r="20" spans="1:33" ht="12.75">
      <c r="A20" s="44" t="s">
        <v>30</v>
      </c>
      <c r="B20" s="82" t="s">
        <v>23</v>
      </c>
      <c r="C20" s="44"/>
      <c r="D20" s="44"/>
      <c r="E20" s="44"/>
      <c r="F20" s="49"/>
      <c r="G20" s="49"/>
      <c r="H20" s="49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 t="s">
        <v>31</v>
      </c>
      <c r="T20" s="44"/>
      <c r="U20" s="48">
        <f>10.3*2.2</f>
        <v>22.660000000000004</v>
      </c>
      <c r="V20" s="48">
        <v>3</v>
      </c>
      <c r="W20" s="48">
        <f t="shared" si="0"/>
        <v>3.2001</v>
      </c>
      <c r="X20" s="49" t="s">
        <v>32</v>
      </c>
      <c r="Y20" s="49">
        <f>376*2.2</f>
        <v>827.2</v>
      </c>
      <c r="Z20" s="44"/>
      <c r="AA20" s="44"/>
      <c r="AB20" s="44"/>
      <c r="AC20" s="44"/>
      <c r="AD20" s="44"/>
      <c r="AE20" s="44"/>
      <c r="AF20" s="44"/>
      <c r="AG20" s="369"/>
    </row>
    <row r="21" spans="1:33" ht="12.75">
      <c r="A21" s="16" t="s">
        <v>30</v>
      </c>
      <c r="B21" s="35" t="s">
        <v>23</v>
      </c>
      <c r="C21" s="16"/>
      <c r="D21" s="16"/>
      <c r="E21" s="16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 t="s">
        <v>35</v>
      </c>
      <c r="T21" s="16"/>
      <c r="U21" s="36">
        <v>20</v>
      </c>
      <c r="V21" s="36">
        <v>3</v>
      </c>
      <c r="W21" s="36">
        <f t="shared" si="0"/>
        <v>3.2001</v>
      </c>
      <c r="X21" s="15" t="s">
        <v>36</v>
      </c>
      <c r="Y21" s="15">
        <f>376*2.2</f>
        <v>827.2</v>
      </c>
      <c r="Z21" s="16"/>
      <c r="AA21" s="16"/>
      <c r="AB21" s="16"/>
      <c r="AC21" s="16"/>
      <c r="AD21" s="16"/>
      <c r="AE21" s="16"/>
      <c r="AF21" s="16"/>
      <c r="AG21" s="370"/>
    </row>
    <row r="22" spans="1:33" ht="12.75">
      <c r="A22" s="38"/>
      <c r="B22" s="38"/>
      <c r="C22" s="38"/>
      <c r="D22" s="38"/>
      <c r="E22" s="38"/>
      <c r="F22" s="40"/>
      <c r="G22" s="40"/>
      <c r="H22" s="40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9"/>
      <c r="W22" s="39">
        <f t="shared" si="0"/>
        <v>0</v>
      </c>
      <c r="X22" s="38"/>
      <c r="Y22" s="40"/>
      <c r="Z22" s="40"/>
      <c r="AA22" s="40"/>
      <c r="AB22" s="40"/>
      <c r="AC22" s="40"/>
      <c r="AD22" s="40"/>
      <c r="AE22" s="40"/>
      <c r="AF22" s="40"/>
      <c r="AG22" s="371"/>
    </row>
    <row r="23" spans="1:33" ht="12.75">
      <c r="A23" s="44" t="s">
        <v>1</v>
      </c>
      <c r="B23" s="44"/>
      <c r="C23" s="45" t="s">
        <v>23</v>
      </c>
      <c r="D23" s="46"/>
      <c r="E23" s="46"/>
      <c r="F23" s="46"/>
      <c r="G23" s="46"/>
      <c r="H23" s="46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7" t="s">
        <v>37</v>
      </c>
      <c r="T23" s="47"/>
      <c r="U23" s="48">
        <f>35*2.2</f>
        <v>77</v>
      </c>
      <c r="V23" s="48">
        <v>21</v>
      </c>
      <c r="W23" s="48">
        <f t="shared" si="0"/>
        <v>22.4007</v>
      </c>
      <c r="X23" s="49" t="s">
        <v>38</v>
      </c>
      <c r="Y23" s="49">
        <f>839*2.2</f>
        <v>1845.8000000000002</v>
      </c>
      <c r="Z23" s="49" t="s">
        <v>39</v>
      </c>
      <c r="AA23" s="49">
        <v>27</v>
      </c>
      <c r="AB23" s="49" t="s">
        <v>40</v>
      </c>
      <c r="AC23" s="49" t="s">
        <v>39</v>
      </c>
      <c r="AD23" s="49">
        <v>27</v>
      </c>
      <c r="AE23" s="49" t="s">
        <v>40</v>
      </c>
      <c r="AF23" s="49"/>
      <c r="AG23" s="369"/>
    </row>
    <row r="24" spans="1:33" ht="12.75">
      <c r="A24" s="16" t="s">
        <v>1</v>
      </c>
      <c r="B24" s="16"/>
      <c r="C24" s="50" t="s">
        <v>23</v>
      </c>
      <c r="D24" s="51"/>
      <c r="E24" s="51"/>
      <c r="F24" s="51"/>
      <c r="G24" s="51"/>
      <c r="H24" s="5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2" t="s">
        <v>44</v>
      </c>
      <c r="T24" s="52"/>
      <c r="U24" s="36">
        <f>41*2.2</f>
        <v>90.2</v>
      </c>
      <c r="V24" s="36">
        <v>15</v>
      </c>
      <c r="W24" s="36">
        <f t="shared" si="0"/>
        <v>16.0005</v>
      </c>
      <c r="X24" s="15" t="s">
        <v>45</v>
      </c>
      <c r="Y24" s="15">
        <f>1914*2.2</f>
        <v>4210.8</v>
      </c>
      <c r="Z24" s="15" t="s">
        <v>39</v>
      </c>
      <c r="AA24" s="15">
        <v>27</v>
      </c>
      <c r="AB24" s="15" t="s">
        <v>40</v>
      </c>
      <c r="AC24" s="15" t="s">
        <v>39</v>
      </c>
      <c r="AD24" s="15">
        <v>27</v>
      </c>
      <c r="AE24" s="15" t="s">
        <v>40</v>
      </c>
      <c r="AF24" s="15" t="s">
        <v>46</v>
      </c>
      <c r="AG24" s="370"/>
    </row>
    <row r="25" spans="1:33" ht="12.75">
      <c r="A25" s="33" t="s">
        <v>1</v>
      </c>
      <c r="B25" s="33"/>
      <c r="C25" s="180"/>
      <c r="D25" s="181" t="s">
        <v>23</v>
      </c>
      <c r="E25" s="181" t="s">
        <v>23</v>
      </c>
      <c r="F25" s="181"/>
      <c r="G25" s="181"/>
      <c r="H25" s="18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82" t="s">
        <v>285</v>
      </c>
      <c r="T25" s="182"/>
      <c r="U25" s="183">
        <f>66*2.2</f>
        <v>145.20000000000002</v>
      </c>
      <c r="V25" s="183">
        <v>19</v>
      </c>
      <c r="W25" s="183">
        <f t="shared" si="0"/>
        <v>20.2673</v>
      </c>
      <c r="X25" s="139" t="s">
        <v>49</v>
      </c>
      <c r="Y25" s="139">
        <f>2185*2.2</f>
        <v>4807</v>
      </c>
      <c r="Z25" s="139" t="s">
        <v>39</v>
      </c>
      <c r="AA25" s="139">
        <v>27</v>
      </c>
      <c r="AB25" s="139" t="s">
        <v>40</v>
      </c>
      <c r="AC25" s="139" t="s">
        <v>39</v>
      </c>
      <c r="AD25" s="139">
        <v>27</v>
      </c>
      <c r="AE25" s="139" t="s">
        <v>40</v>
      </c>
      <c r="AF25" s="139" t="s">
        <v>50</v>
      </c>
      <c r="AG25" s="372"/>
    </row>
    <row r="26" spans="1:33" ht="12.75">
      <c r="A26" s="69" t="s">
        <v>1</v>
      </c>
      <c r="B26" s="69"/>
      <c r="C26" s="184"/>
      <c r="D26" s="185" t="s">
        <v>23</v>
      </c>
      <c r="E26" s="185" t="s">
        <v>23</v>
      </c>
      <c r="F26" s="185"/>
      <c r="G26" s="185"/>
      <c r="H26" s="185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186" t="s">
        <v>51</v>
      </c>
      <c r="T26" s="186"/>
      <c r="U26" s="187">
        <f>45.3*2.2</f>
        <v>99.66</v>
      </c>
      <c r="V26" s="187" t="s">
        <v>287</v>
      </c>
      <c r="W26" s="187" t="s">
        <v>87</v>
      </c>
      <c r="X26" s="188" t="s">
        <v>52</v>
      </c>
      <c r="Y26" s="188">
        <f>1179*2.2</f>
        <v>2593.8</v>
      </c>
      <c r="Z26" s="188" t="s">
        <v>39</v>
      </c>
      <c r="AA26" s="188">
        <v>27</v>
      </c>
      <c r="AB26" s="188" t="s">
        <v>40</v>
      </c>
      <c r="AC26" s="188" t="s">
        <v>39</v>
      </c>
      <c r="AD26" s="188">
        <v>27</v>
      </c>
      <c r="AE26" s="188" t="s">
        <v>40</v>
      </c>
      <c r="AF26" s="188"/>
      <c r="AG26" s="373"/>
    </row>
    <row r="27" spans="1:33" ht="12.75">
      <c r="A27" s="44" t="s">
        <v>41</v>
      </c>
      <c r="B27" s="44"/>
      <c r="C27" s="45" t="s">
        <v>23</v>
      </c>
      <c r="D27" s="46"/>
      <c r="E27" s="46"/>
      <c r="F27" s="46"/>
      <c r="G27" s="46"/>
      <c r="H27" s="4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7" t="s">
        <v>42</v>
      </c>
      <c r="T27" s="47"/>
      <c r="U27" s="48">
        <f>13.6*2.2</f>
        <v>29.92</v>
      </c>
      <c r="V27" s="48">
        <v>3.5</v>
      </c>
      <c r="W27" s="48">
        <f t="shared" si="0"/>
        <v>3.73345</v>
      </c>
      <c r="X27" s="49" t="s">
        <v>43</v>
      </c>
      <c r="Y27" s="49">
        <f>506*2.5</f>
        <v>1265</v>
      </c>
      <c r="Z27" s="49"/>
      <c r="AA27" s="49"/>
      <c r="AB27" s="49"/>
      <c r="AC27" s="49"/>
      <c r="AD27" s="49"/>
      <c r="AE27" s="49"/>
      <c r="AF27" s="49"/>
      <c r="AG27" s="369"/>
    </row>
    <row r="28" spans="1:33" ht="12.75">
      <c r="A28" s="16" t="s">
        <v>41</v>
      </c>
      <c r="B28" s="16"/>
      <c r="C28" s="50" t="s">
        <v>23</v>
      </c>
      <c r="D28" s="50" t="s">
        <v>23</v>
      </c>
      <c r="E28" s="50" t="s">
        <v>23</v>
      </c>
      <c r="F28" s="51"/>
      <c r="G28" s="51"/>
      <c r="H28" s="5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2" t="s">
        <v>47</v>
      </c>
      <c r="T28" s="52"/>
      <c r="U28" s="36">
        <f>15.9*2.2</f>
        <v>34.980000000000004</v>
      </c>
      <c r="V28" s="36">
        <v>3.5</v>
      </c>
      <c r="W28" s="36">
        <f t="shared" si="0"/>
        <v>3.73345</v>
      </c>
      <c r="X28" s="15" t="s">
        <v>48</v>
      </c>
      <c r="Y28" s="15">
        <f>667*2.2</f>
        <v>1467.4</v>
      </c>
      <c r="Z28" s="15"/>
      <c r="AA28" s="15"/>
      <c r="AB28" s="15"/>
      <c r="AC28" s="15"/>
      <c r="AD28" s="15"/>
      <c r="AE28" s="15"/>
      <c r="AF28" s="15"/>
      <c r="AG28" s="370"/>
    </row>
    <row r="29" spans="1:33" ht="12.75">
      <c r="A29" s="69" t="s">
        <v>41</v>
      </c>
      <c r="B29" s="69"/>
      <c r="C29" s="184"/>
      <c r="D29" s="185" t="s">
        <v>23</v>
      </c>
      <c r="E29" s="185" t="s">
        <v>23</v>
      </c>
      <c r="F29" s="185"/>
      <c r="G29" s="185"/>
      <c r="H29" s="185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 t="s">
        <v>53</v>
      </c>
      <c r="T29" s="69"/>
      <c r="U29" s="187">
        <f>18*2.2</f>
        <v>39.6</v>
      </c>
      <c r="V29" s="187" t="s">
        <v>287</v>
      </c>
      <c r="W29" s="187" t="s">
        <v>87</v>
      </c>
      <c r="X29" s="188" t="s">
        <v>54</v>
      </c>
      <c r="Y29" s="188">
        <f>558*2.2</f>
        <v>1227.6000000000001</v>
      </c>
      <c r="Z29" s="188"/>
      <c r="AA29" s="188"/>
      <c r="AB29" s="188"/>
      <c r="AC29" s="188"/>
      <c r="AD29" s="188"/>
      <c r="AE29" s="188"/>
      <c r="AF29" s="188"/>
      <c r="AG29" s="373"/>
    </row>
    <row r="30" spans="1:33" ht="12.75">
      <c r="A30" s="38"/>
      <c r="B30" s="38"/>
      <c r="C30" s="42"/>
      <c r="D30" s="41"/>
      <c r="E30" s="41"/>
      <c r="F30" s="41"/>
      <c r="G30" s="41"/>
      <c r="H30" s="41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3"/>
      <c r="T30" s="43"/>
      <c r="U30" s="39"/>
      <c r="V30" s="39"/>
      <c r="W30" s="39">
        <f t="shared" si="0"/>
        <v>0</v>
      </c>
      <c r="X30" s="40"/>
      <c r="Y30" s="40"/>
      <c r="Z30" s="40"/>
      <c r="AA30" s="40"/>
      <c r="AB30" s="40"/>
      <c r="AC30" s="40"/>
      <c r="AD30" s="40"/>
      <c r="AE30" s="40"/>
      <c r="AF30" s="40"/>
      <c r="AG30" s="371"/>
    </row>
    <row r="31" spans="1:33" ht="12.75">
      <c r="A31" s="33" t="s">
        <v>1</v>
      </c>
      <c r="B31" s="33"/>
      <c r="C31" s="33"/>
      <c r="D31" s="33"/>
      <c r="E31" s="33"/>
      <c r="F31" s="139"/>
      <c r="G31" s="139"/>
      <c r="H31" s="139"/>
      <c r="I31" s="192" t="s">
        <v>23</v>
      </c>
      <c r="J31" s="139" t="s">
        <v>23</v>
      </c>
      <c r="K31" s="139" t="s">
        <v>23</v>
      </c>
      <c r="L31" s="139" t="s">
        <v>23</v>
      </c>
      <c r="M31" s="139"/>
      <c r="N31" s="139"/>
      <c r="O31" s="33"/>
      <c r="P31" s="33"/>
      <c r="Q31" s="33"/>
      <c r="R31" s="33"/>
      <c r="S31" s="33" t="s">
        <v>55</v>
      </c>
      <c r="T31" s="33"/>
      <c r="U31" s="183">
        <f>84*2.2</f>
        <v>184.8</v>
      </c>
      <c r="V31" s="183">
        <v>9.75</v>
      </c>
      <c r="W31" s="183">
        <f t="shared" si="0"/>
        <v>10.400325</v>
      </c>
      <c r="X31" s="139" t="s">
        <v>56</v>
      </c>
      <c r="Y31" s="139">
        <f>1790*2.2</f>
        <v>3938.0000000000005</v>
      </c>
      <c r="Z31" s="139" t="s">
        <v>57</v>
      </c>
      <c r="AA31" s="139">
        <v>25</v>
      </c>
      <c r="AB31" s="139" t="s">
        <v>58</v>
      </c>
      <c r="AC31" s="139" t="s">
        <v>57</v>
      </c>
      <c r="AD31" s="139">
        <v>25</v>
      </c>
      <c r="AE31" s="139" t="s">
        <v>59</v>
      </c>
      <c r="AF31" s="139" t="s">
        <v>50</v>
      </c>
      <c r="AG31" s="372">
        <v>20</v>
      </c>
    </row>
    <row r="32" spans="1:33" ht="12.75">
      <c r="A32" s="44" t="s">
        <v>1</v>
      </c>
      <c r="B32" s="44"/>
      <c r="C32" s="44"/>
      <c r="D32" s="44"/>
      <c r="E32" s="44"/>
      <c r="F32" s="49"/>
      <c r="G32" s="49"/>
      <c r="H32" s="49"/>
      <c r="I32" s="193" t="s">
        <v>23</v>
      </c>
      <c r="J32" s="49" t="s">
        <v>23</v>
      </c>
      <c r="K32" s="49" t="s">
        <v>23</v>
      </c>
      <c r="L32" s="49" t="s">
        <v>23</v>
      </c>
      <c r="M32" s="49"/>
      <c r="N32" s="49"/>
      <c r="O32" s="44"/>
      <c r="P32" s="44"/>
      <c r="Q32" s="44"/>
      <c r="R32" s="44"/>
      <c r="S32" s="44" t="s">
        <v>64</v>
      </c>
      <c r="T32" s="44"/>
      <c r="U32" s="48">
        <f>85*2.2</f>
        <v>187.00000000000003</v>
      </c>
      <c r="V32" s="48">
        <v>29</v>
      </c>
      <c r="W32" s="48">
        <f t="shared" si="0"/>
        <v>30.9343</v>
      </c>
      <c r="X32" s="49" t="s">
        <v>65</v>
      </c>
      <c r="Y32" s="49">
        <f>1420*2.2</f>
        <v>3124.0000000000005</v>
      </c>
      <c r="Z32" s="49" t="s">
        <v>57</v>
      </c>
      <c r="AA32" s="49">
        <v>25</v>
      </c>
      <c r="AB32" s="49" t="s">
        <v>58</v>
      </c>
      <c r="AC32" s="49" t="s">
        <v>57</v>
      </c>
      <c r="AD32" s="49">
        <v>25</v>
      </c>
      <c r="AE32" s="49" t="s">
        <v>59</v>
      </c>
      <c r="AF32" s="49" t="s">
        <v>66</v>
      </c>
      <c r="AG32" s="369">
        <v>12</v>
      </c>
    </row>
    <row r="33" spans="1:33" ht="12.75">
      <c r="A33" s="16" t="s">
        <v>1</v>
      </c>
      <c r="B33" s="16"/>
      <c r="C33" s="16"/>
      <c r="D33" s="16"/>
      <c r="E33" s="16"/>
      <c r="F33" s="15"/>
      <c r="G33" s="15"/>
      <c r="H33" s="15"/>
      <c r="I33" s="194" t="s">
        <v>23</v>
      </c>
      <c r="J33" s="15" t="s">
        <v>23</v>
      </c>
      <c r="K33" s="15" t="s">
        <v>23</v>
      </c>
      <c r="L33" s="15" t="s">
        <v>23</v>
      </c>
      <c r="M33" s="15"/>
      <c r="N33" s="15"/>
      <c r="O33" s="16"/>
      <c r="P33" s="16"/>
      <c r="Q33" s="16"/>
      <c r="R33" s="16"/>
      <c r="S33" s="16" t="s">
        <v>71</v>
      </c>
      <c r="T33" s="16"/>
      <c r="U33" s="36">
        <f>77*2.2</f>
        <v>169.4</v>
      </c>
      <c r="V33" s="36">
        <v>27</v>
      </c>
      <c r="W33" s="36">
        <f t="shared" si="0"/>
        <v>28.8009</v>
      </c>
      <c r="X33" s="15" t="s">
        <v>72</v>
      </c>
      <c r="Y33" s="15">
        <f>1490*2.2</f>
        <v>3278.0000000000005</v>
      </c>
      <c r="Z33" s="15" t="s">
        <v>57</v>
      </c>
      <c r="AA33" s="15">
        <v>25</v>
      </c>
      <c r="AB33" s="15" t="s">
        <v>58</v>
      </c>
      <c r="AC33" s="15" t="s">
        <v>57</v>
      </c>
      <c r="AD33" s="15">
        <v>25</v>
      </c>
      <c r="AE33" s="15" t="s">
        <v>59</v>
      </c>
      <c r="AF33" s="15" t="s">
        <v>73</v>
      </c>
      <c r="AG33" s="370">
        <v>10</v>
      </c>
    </row>
    <row r="34" spans="1:33" ht="12.75">
      <c r="A34" s="69" t="s">
        <v>1</v>
      </c>
      <c r="B34" s="69"/>
      <c r="C34" s="69"/>
      <c r="D34" s="69"/>
      <c r="E34" s="69"/>
      <c r="F34" s="188"/>
      <c r="G34" s="188"/>
      <c r="H34" s="188"/>
      <c r="I34" s="195" t="s">
        <v>23</v>
      </c>
      <c r="J34" s="188" t="s">
        <v>23</v>
      </c>
      <c r="K34" s="188" t="s">
        <v>23</v>
      </c>
      <c r="L34" s="188" t="s">
        <v>23</v>
      </c>
      <c r="M34" s="188"/>
      <c r="N34" s="188"/>
      <c r="O34" s="69"/>
      <c r="P34" s="69"/>
      <c r="Q34" s="69"/>
      <c r="R34" s="69"/>
      <c r="S34" s="69" t="s">
        <v>76</v>
      </c>
      <c r="T34" s="69"/>
      <c r="U34" s="187">
        <f>73*2.2</f>
        <v>160.60000000000002</v>
      </c>
      <c r="V34" s="187">
        <v>20</v>
      </c>
      <c r="W34" s="187">
        <f t="shared" si="0"/>
        <v>21.334</v>
      </c>
      <c r="X34" s="188" t="s">
        <v>77</v>
      </c>
      <c r="Y34" s="188">
        <f>990*2.2</f>
        <v>2178</v>
      </c>
      <c r="Z34" s="188" t="s">
        <v>78</v>
      </c>
      <c r="AA34" s="188">
        <v>48</v>
      </c>
      <c r="AB34" s="196" t="s">
        <v>79</v>
      </c>
      <c r="AC34" s="188" t="s">
        <v>78</v>
      </c>
      <c r="AD34" s="188">
        <v>48</v>
      </c>
      <c r="AE34" s="197" t="s">
        <v>80</v>
      </c>
      <c r="AF34" s="188" t="s">
        <v>50</v>
      </c>
      <c r="AG34" s="373">
        <v>12</v>
      </c>
    </row>
    <row r="35" spans="1:33" ht="12.75">
      <c r="A35" s="198" t="s">
        <v>1</v>
      </c>
      <c r="B35" s="198"/>
      <c r="C35" s="198"/>
      <c r="D35" s="198"/>
      <c r="E35" s="198"/>
      <c r="F35" s="189"/>
      <c r="G35" s="189"/>
      <c r="H35" s="189"/>
      <c r="I35" s="199" t="s">
        <v>23</v>
      </c>
      <c r="J35" s="189" t="s">
        <v>23</v>
      </c>
      <c r="K35" s="189" t="s">
        <v>23</v>
      </c>
      <c r="L35" s="189" t="s">
        <v>23</v>
      </c>
      <c r="M35" s="189"/>
      <c r="N35" s="189"/>
      <c r="O35" s="198"/>
      <c r="P35" s="198"/>
      <c r="Q35" s="198"/>
      <c r="R35" s="198"/>
      <c r="S35" s="198" t="s">
        <v>84</v>
      </c>
      <c r="T35" s="198"/>
      <c r="U35" s="200">
        <f>57*2.2</f>
        <v>125.4</v>
      </c>
      <c r="V35" s="200" t="s">
        <v>287</v>
      </c>
      <c r="W35" s="200" t="s">
        <v>87</v>
      </c>
      <c r="X35" s="189" t="s">
        <v>85</v>
      </c>
      <c r="Y35" s="189">
        <f>1990*2.2</f>
        <v>4378</v>
      </c>
      <c r="Z35" s="189" t="s">
        <v>86</v>
      </c>
      <c r="AA35" s="189"/>
      <c r="AB35" s="189"/>
      <c r="AC35" s="189" t="s">
        <v>86</v>
      </c>
      <c r="AD35" s="189"/>
      <c r="AE35" s="189"/>
      <c r="AF35" s="189" t="s">
        <v>87</v>
      </c>
      <c r="AG35" s="374">
        <v>6</v>
      </c>
    </row>
    <row r="36" spans="1:33" ht="12.75">
      <c r="A36" s="33" t="s">
        <v>60</v>
      </c>
      <c r="B36" s="33"/>
      <c r="C36" s="33"/>
      <c r="D36" s="33"/>
      <c r="E36" s="33"/>
      <c r="F36" s="139"/>
      <c r="G36" s="139"/>
      <c r="H36" s="139"/>
      <c r="I36" s="192" t="s">
        <v>23</v>
      </c>
      <c r="J36" s="139" t="s">
        <v>23</v>
      </c>
      <c r="K36" s="139" t="s">
        <v>23</v>
      </c>
      <c r="L36" s="139" t="s">
        <v>23</v>
      </c>
      <c r="M36" s="139"/>
      <c r="N36" s="139"/>
      <c r="O36" s="33"/>
      <c r="P36" s="33"/>
      <c r="Q36" s="33"/>
      <c r="R36" s="33"/>
      <c r="S36" s="33" t="s">
        <v>61</v>
      </c>
      <c r="T36" s="33"/>
      <c r="U36" s="183">
        <f>22*2.2</f>
        <v>48.400000000000006</v>
      </c>
      <c r="V36" s="183">
        <v>5.3</v>
      </c>
      <c r="W36" s="183">
        <f t="shared" si="0"/>
        <v>5.65351</v>
      </c>
      <c r="X36" s="139" t="s">
        <v>62</v>
      </c>
      <c r="Y36" s="139">
        <f>620*2.2</f>
        <v>1364</v>
      </c>
      <c r="Z36" s="139"/>
      <c r="AA36" s="139"/>
      <c r="AB36" s="139"/>
      <c r="AC36" s="139"/>
      <c r="AD36" s="139"/>
      <c r="AE36" s="139"/>
      <c r="AF36" s="139" t="s">
        <v>63</v>
      </c>
      <c r="AG36" s="372">
        <v>12</v>
      </c>
    </row>
    <row r="37" spans="1:33" ht="12.75">
      <c r="A37" s="44" t="s">
        <v>60</v>
      </c>
      <c r="B37" s="44"/>
      <c r="C37" s="44"/>
      <c r="D37" s="44"/>
      <c r="E37" s="44"/>
      <c r="F37" s="49"/>
      <c r="G37" s="49"/>
      <c r="H37" s="49"/>
      <c r="I37" s="193" t="s">
        <v>23</v>
      </c>
      <c r="J37" s="49" t="s">
        <v>23</v>
      </c>
      <c r="K37" s="49" t="s">
        <v>23</v>
      </c>
      <c r="L37" s="49" t="s">
        <v>23</v>
      </c>
      <c r="M37" s="49"/>
      <c r="N37" s="49"/>
      <c r="O37" s="44"/>
      <c r="P37" s="44"/>
      <c r="Q37" s="44"/>
      <c r="R37" s="44"/>
      <c r="S37" s="44" t="s">
        <v>67</v>
      </c>
      <c r="T37" s="44"/>
      <c r="U37" s="48">
        <f>23*2.2</f>
        <v>50.6</v>
      </c>
      <c r="V37" s="48">
        <v>6</v>
      </c>
      <c r="W37" s="48">
        <f t="shared" si="0"/>
        <v>6.4002</v>
      </c>
      <c r="X37" s="49" t="s">
        <v>68</v>
      </c>
      <c r="Y37" s="49">
        <f>795*2.2</f>
        <v>1749.0000000000002</v>
      </c>
      <c r="Z37" s="49"/>
      <c r="AA37" s="49"/>
      <c r="AB37" s="49"/>
      <c r="AC37" s="49"/>
      <c r="AD37" s="49"/>
      <c r="AE37" s="49"/>
      <c r="AF37" s="49" t="s">
        <v>69</v>
      </c>
      <c r="AG37" s="369">
        <v>12</v>
      </c>
    </row>
    <row r="38" spans="1:33" ht="12.75">
      <c r="A38" s="16" t="s">
        <v>60</v>
      </c>
      <c r="B38" s="16"/>
      <c r="C38" s="16"/>
      <c r="D38" s="16"/>
      <c r="E38" s="16"/>
      <c r="F38" s="15"/>
      <c r="G38" s="15"/>
      <c r="H38" s="15"/>
      <c r="I38" s="194" t="s">
        <v>23</v>
      </c>
      <c r="J38" s="15" t="s">
        <v>23</v>
      </c>
      <c r="K38" s="15" t="s">
        <v>23</v>
      </c>
      <c r="L38" s="15" t="s">
        <v>23</v>
      </c>
      <c r="M38" s="15"/>
      <c r="N38" s="15"/>
      <c r="O38" s="16"/>
      <c r="P38" s="16"/>
      <c r="Q38" s="16"/>
      <c r="R38" s="16"/>
      <c r="S38" s="16" t="s">
        <v>74</v>
      </c>
      <c r="T38" s="16"/>
      <c r="U38" s="36">
        <f>22*2.2</f>
        <v>48.400000000000006</v>
      </c>
      <c r="V38" s="36">
        <v>6</v>
      </c>
      <c r="W38" s="36">
        <f t="shared" si="0"/>
        <v>6.4002</v>
      </c>
      <c r="X38" s="15" t="s">
        <v>75</v>
      </c>
      <c r="Y38" s="15">
        <f>750*2.2</f>
        <v>1650.0000000000002</v>
      </c>
      <c r="Z38" s="15"/>
      <c r="AA38" s="15"/>
      <c r="AB38" s="15"/>
      <c r="AC38" s="15"/>
      <c r="AD38" s="15"/>
      <c r="AE38" s="15"/>
      <c r="AF38" s="15" t="s">
        <v>69</v>
      </c>
      <c r="AG38" s="370">
        <v>16</v>
      </c>
    </row>
    <row r="39" spans="1:33" ht="12.75">
      <c r="A39" s="69" t="s">
        <v>60</v>
      </c>
      <c r="B39" s="69"/>
      <c r="C39" s="69"/>
      <c r="D39" s="69"/>
      <c r="E39" s="69"/>
      <c r="F39" s="188"/>
      <c r="G39" s="188"/>
      <c r="H39" s="188"/>
      <c r="I39" s="195" t="s">
        <v>23</v>
      </c>
      <c r="J39" s="188" t="s">
        <v>23</v>
      </c>
      <c r="K39" s="188" t="s">
        <v>23</v>
      </c>
      <c r="L39" s="188" t="s">
        <v>23</v>
      </c>
      <c r="M39" s="188"/>
      <c r="N39" s="188"/>
      <c r="O39" s="69"/>
      <c r="P39" s="69"/>
      <c r="Q39" s="69"/>
      <c r="R39" s="69"/>
      <c r="S39" s="69" t="s">
        <v>81</v>
      </c>
      <c r="T39" s="69"/>
      <c r="U39" s="187">
        <f>22*2.2</f>
        <v>48.400000000000006</v>
      </c>
      <c r="V39" s="187">
        <v>5.3</v>
      </c>
      <c r="W39" s="187">
        <f t="shared" si="0"/>
        <v>5.65351</v>
      </c>
      <c r="X39" s="188" t="s">
        <v>82</v>
      </c>
      <c r="Y39" s="188">
        <f>430*2.2</f>
        <v>946.0000000000001</v>
      </c>
      <c r="Z39" s="188"/>
      <c r="AA39" s="188"/>
      <c r="AB39" s="188"/>
      <c r="AC39" s="188"/>
      <c r="AD39" s="188"/>
      <c r="AE39" s="188"/>
      <c r="AF39" s="188" t="s">
        <v>83</v>
      </c>
      <c r="AG39" s="373">
        <v>12</v>
      </c>
    </row>
    <row r="40" spans="1:33" ht="13.5" thickBot="1">
      <c r="A40" s="208" t="s">
        <v>60</v>
      </c>
      <c r="B40" s="208"/>
      <c r="C40" s="208"/>
      <c r="D40" s="208"/>
      <c r="E40" s="208"/>
      <c r="F40" s="210"/>
      <c r="G40" s="210"/>
      <c r="H40" s="210"/>
      <c r="I40" s="242" t="s">
        <v>23</v>
      </c>
      <c r="J40" s="210" t="s">
        <v>23</v>
      </c>
      <c r="K40" s="210" t="s">
        <v>23</v>
      </c>
      <c r="L40" s="210" t="s">
        <v>23</v>
      </c>
      <c r="M40" s="210"/>
      <c r="N40" s="210"/>
      <c r="O40" s="208"/>
      <c r="P40" s="208"/>
      <c r="Q40" s="208"/>
      <c r="R40" s="208"/>
      <c r="S40" s="208" t="s">
        <v>88</v>
      </c>
      <c r="T40" s="208"/>
      <c r="U40" s="209">
        <f>27*2.2</f>
        <v>59.400000000000006</v>
      </c>
      <c r="V40" s="209" t="s">
        <v>287</v>
      </c>
      <c r="W40" s="209" t="s">
        <v>87</v>
      </c>
      <c r="X40" s="210" t="s">
        <v>89</v>
      </c>
      <c r="Y40" s="210">
        <f>700*2.2</f>
        <v>1540.0000000000002</v>
      </c>
      <c r="Z40" s="210"/>
      <c r="AA40" s="210"/>
      <c r="AB40" s="210"/>
      <c r="AC40" s="210"/>
      <c r="AD40" s="210"/>
      <c r="AE40" s="210"/>
      <c r="AF40" s="210"/>
      <c r="AG40" s="375">
        <v>10</v>
      </c>
    </row>
    <row r="41" spans="1:33" ht="12.75">
      <c r="A41" s="247" t="s">
        <v>1</v>
      </c>
      <c r="B41" s="248"/>
      <c r="C41" s="248"/>
      <c r="D41" s="248"/>
      <c r="E41" s="248"/>
      <c r="F41" s="249"/>
      <c r="G41" s="249"/>
      <c r="H41" s="249"/>
      <c r="I41" s="248"/>
      <c r="J41" s="248"/>
      <c r="K41" s="248"/>
      <c r="L41" s="248"/>
      <c r="M41" s="248"/>
      <c r="N41" s="248"/>
      <c r="O41" s="250" t="s">
        <v>23</v>
      </c>
      <c r="P41" s="250" t="s">
        <v>23</v>
      </c>
      <c r="Q41" s="250" t="s">
        <v>23</v>
      </c>
      <c r="R41" s="250" t="s">
        <v>23</v>
      </c>
      <c r="S41" s="248" t="s">
        <v>90</v>
      </c>
      <c r="T41" s="248"/>
      <c r="U41" s="251">
        <f>109*2.2</f>
        <v>239.8</v>
      </c>
      <c r="V41" s="251" t="s">
        <v>287</v>
      </c>
      <c r="W41" s="251" t="s">
        <v>87</v>
      </c>
      <c r="X41" s="249" t="s">
        <v>91</v>
      </c>
      <c r="Y41" s="249">
        <f>2735*2.2</f>
        <v>6017.000000000001</v>
      </c>
      <c r="Z41" s="249" t="s">
        <v>86</v>
      </c>
      <c r="AA41" s="249"/>
      <c r="AB41" s="249"/>
      <c r="AC41" s="249" t="s">
        <v>86</v>
      </c>
      <c r="AD41" s="249"/>
      <c r="AE41" s="249"/>
      <c r="AF41" s="249" t="s">
        <v>87</v>
      </c>
      <c r="AG41" s="376">
        <v>6</v>
      </c>
    </row>
    <row r="42" spans="1:33" ht="12.75">
      <c r="A42" s="252" t="s">
        <v>1</v>
      </c>
      <c r="B42" s="44"/>
      <c r="C42" s="44"/>
      <c r="D42" s="44"/>
      <c r="E42" s="44"/>
      <c r="F42" s="49"/>
      <c r="G42" s="49"/>
      <c r="H42" s="49"/>
      <c r="I42" s="44"/>
      <c r="J42" s="44"/>
      <c r="K42" s="44"/>
      <c r="L42" s="44"/>
      <c r="M42" s="44"/>
      <c r="N42" s="44"/>
      <c r="O42" s="205" t="s">
        <v>23</v>
      </c>
      <c r="P42" s="205" t="s">
        <v>23</v>
      </c>
      <c r="Q42" s="205" t="s">
        <v>23</v>
      </c>
      <c r="R42" s="205" t="s">
        <v>23</v>
      </c>
      <c r="S42" s="44" t="s">
        <v>94</v>
      </c>
      <c r="T42" s="44"/>
      <c r="U42" s="48">
        <f>90*2.2</f>
        <v>198.00000000000003</v>
      </c>
      <c r="V42" s="48">
        <v>48</v>
      </c>
      <c r="W42" s="48">
        <f t="shared" si="0"/>
        <v>51.2016</v>
      </c>
      <c r="X42" s="49" t="s">
        <v>95</v>
      </c>
      <c r="Y42" s="49">
        <f>1740*2.2</f>
        <v>3828.0000000000005</v>
      </c>
      <c r="Z42" s="49" t="s">
        <v>57</v>
      </c>
      <c r="AA42" s="49">
        <v>25</v>
      </c>
      <c r="AB42" s="49" t="s">
        <v>58</v>
      </c>
      <c r="AC42" s="49" t="s">
        <v>57</v>
      </c>
      <c r="AD42" s="49">
        <v>25</v>
      </c>
      <c r="AE42" s="49" t="s">
        <v>59</v>
      </c>
      <c r="AF42" s="49" t="s">
        <v>96</v>
      </c>
      <c r="AG42" s="369">
        <v>12</v>
      </c>
    </row>
    <row r="43" spans="1:33" ht="12.75">
      <c r="A43" s="253" t="s">
        <v>1</v>
      </c>
      <c r="B43" s="16"/>
      <c r="C43" s="16"/>
      <c r="D43" s="16"/>
      <c r="E43" s="16"/>
      <c r="F43" s="15"/>
      <c r="G43" s="15"/>
      <c r="H43" s="15"/>
      <c r="I43" s="16"/>
      <c r="J43" s="16"/>
      <c r="K43" s="16"/>
      <c r="L43" s="16"/>
      <c r="M43" s="16"/>
      <c r="N43" s="16"/>
      <c r="O43" s="206" t="s">
        <v>23</v>
      </c>
      <c r="P43" s="206" t="s">
        <v>23</v>
      </c>
      <c r="Q43" s="206" t="s">
        <v>23</v>
      </c>
      <c r="R43" s="206" t="s">
        <v>23</v>
      </c>
      <c r="S43" s="16" t="s">
        <v>99</v>
      </c>
      <c r="T43" s="16"/>
      <c r="U43" s="36">
        <f>108*2.2</f>
        <v>237.60000000000002</v>
      </c>
      <c r="V43" s="36">
        <v>47</v>
      </c>
      <c r="W43" s="36">
        <f t="shared" si="0"/>
        <v>50.1349</v>
      </c>
      <c r="X43" s="15" t="s">
        <v>100</v>
      </c>
      <c r="Y43" s="15">
        <f>2531*2.2</f>
        <v>5568.200000000001</v>
      </c>
      <c r="Z43" s="15" t="s">
        <v>78</v>
      </c>
      <c r="AA43" s="15">
        <v>46</v>
      </c>
      <c r="AB43" s="15" t="s">
        <v>79</v>
      </c>
      <c r="AC43" s="15" t="s">
        <v>78</v>
      </c>
      <c r="AD43" s="15">
        <v>46</v>
      </c>
      <c r="AE43" s="15" t="s">
        <v>80</v>
      </c>
      <c r="AF43" s="15" t="s">
        <v>101</v>
      </c>
      <c r="AG43" s="370">
        <v>20</v>
      </c>
    </row>
    <row r="44" spans="1:33" ht="12.75">
      <c r="A44" s="254" t="s">
        <v>1</v>
      </c>
      <c r="B44" s="198"/>
      <c r="C44" s="198"/>
      <c r="D44" s="198"/>
      <c r="E44" s="198"/>
      <c r="F44" s="189"/>
      <c r="G44" s="189"/>
      <c r="H44" s="189"/>
      <c r="I44" s="198"/>
      <c r="J44" s="198"/>
      <c r="K44" s="198"/>
      <c r="L44" s="198"/>
      <c r="M44" s="198"/>
      <c r="N44" s="198"/>
      <c r="O44" s="207" t="s">
        <v>23</v>
      </c>
      <c r="P44" s="207" t="s">
        <v>23</v>
      </c>
      <c r="Q44" s="207" t="s">
        <v>23</v>
      </c>
      <c r="R44" s="207" t="s">
        <v>23</v>
      </c>
      <c r="S44" s="198" t="s">
        <v>105</v>
      </c>
      <c r="T44" s="198"/>
      <c r="U44" s="200">
        <f>95*2.2</f>
        <v>209.00000000000003</v>
      </c>
      <c r="V44" s="200">
        <v>37</v>
      </c>
      <c r="W44" s="200">
        <f t="shared" si="0"/>
        <v>39.4679</v>
      </c>
      <c r="X44" s="189" t="s">
        <v>106</v>
      </c>
      <c r="Y44" s="189">
        <f>1069*2.2</f>
        <v>2351.8</v>
      </c>
      <c r="Z44" s="189" t="s">
        <v>78</v>
      </c>
      <c r="AA44" s="189">
        <v>46</v>
      </c>
      <c r="AB44" s="189" t="s">
        <v>79</v>
      </c>
      <c r="AC44" s="189" t="s">
        <v>78</v>
      </c>
      <c r="AD44" s="189">
        <v>46</v>
      </c>
      <c r="AE44" s="189" t="s">
        <v>80</v>
      </c>
      <c r="AF44" s="189" t="s">
        <v>107</v>
      </c>
      <c r="AG44" s="374">
        <v>14</v>
      </c>
    </row>
    <row r="45" spans="1:33" ht="12.75">
      <c r="A45" s="255" t="s">
        <v>60</v>
      </c>
      <c r="B45" s="33"/>
      <c r="C45" s="33"/>
      <c r="D45" s="33"/>
      <c r="E45" s="33"/>
      <c r="F45" s="139"/>
      <c r="G45" s="139"/>
      <c r="H45" s="139"/>
      <c r="I45" s="33"/>
      <c r="J45" s="33"/>
      <c r="K45" s="33"/>
      <c r="L45" s="33"/>
      <c r="M45" s="33"/>
      <c r="N45" s="33"/>
      <c r="O45" s="204" t="s">
        <v>23</v>
      </c>
      <c r="P45" s="204" t="s">
        <v>23</v>
      </c>
      <c r="Q45" s="204" t="s">
        <v>23</v>
      </c>
      <c r="R45" s="204" t="s">
        <v>23</v>
      </c>
      <c r="S45" s="33" t="s">
        <v>92</v>
      </c>
      <c r="T45" s="33"/>
      <c r="U45" s="183">
        <f>29*2.2</f>
        <v>63.800000000000004</v>
      </c>
      <c r="V45" s="183" t="s">
        <v>287</v>
      </c>
      <c r="W45" s="183" t="s">
        <v>87</v>
      </c>
      <c r="X45" s="139" t="s">
        <v>93</v>
      </c>
      <c r="Y45" s="139">
        <f>991*2.2</f>
        <v>2180.2000000000003</v>
      </c>
      <c r="Z45" s="139"/>
      <c r="AA45" s="139"/>
      <c r="AB45" s="139"/>
      <c r="AC45" s="139"/>
      <c r="AD45" s="139"/>
      <c r="AE45" s="139"/>
      <c r="AF45" s="139"/>
      <c r="AG45" s="372">
        <v>8</v>
      </c>
    </row>
    <row r="46" spans="1:33" ht="12.75">
      <c r="A46" s="252" t="s">
        <v>60</v>
      </c>
      <c r="B46" s="44"/>
      <c r="C46" s="44"/>
      <c r="D46" s="44"/>
      <c r="E46" s="44"/>
      <c r="F46" s="49"/>
      <c r="G46" s="49"/>
      <c r="H46" s="49"/>
      <c r="I46" s="44"/>
      <c r="J46" s="44"/>
      <c r="K46" s="44"/>
      <c r="L46" s="44"/>
      <c r="M46" s="44"/>
      <c r="N46" s="44"/>
      <c r="O46" s="205" t="s">
        <v>23</v>
      </c>
      <c r="P46" s="205" t="s">
        <v>23</v>
      </c>
      <c r="Q46" s="205" t="s">
        <v>23</v>
      </c>
      <c r="R46" s="205" t="s">
        <v>23</v>
      </c>
      <c r="S46" s="44" t="s">
        <v>97</v>
      </c>
      <c r="T46" s="44"/>
      <c r="U46" s="48">
        <f>25*2.2</f>
        <v>55.00000000000001</v>
      </c>
      <c r="V46" s="48">
        <v>9</v>
      </c>
      <c r="W46" s="48">
        <f t="shared" si="0"/>
        <v>9.6003</v>
      </c>
      <c r="X46" s="49" t="s">
        <v>98</v>
      </c>
      <c r="Y46" s="49">
        <f>670*2.2</f>
        <v>1474.0000000000002</v>
      </c>
      <c r="Z46" s="49"/>
      <c r="AA46" s="49"/>
      <c r="AB46" s="49"/>
      <c r="AC46" s="49"/>
      <c r="AD46" s="49"/>
      <c r="AE46" s="49"/>
      <c r="AF46" s="49" t="s">
        <v>70</v>
      </c>
      <c r="AG46" s="369">
        <v>12</v>
      </c>
    </row>
    <row r="47" spans="1:33" ht="12.75">
      <c r="A47" s="253" t="s">
        <v>60</v>
      </c>
      <c r="B47" s="16"/>
      <c r="C47" s="16"/>
      <c r="D47" s="16"/>
      <c r="E47" s="16"/>
      <c r="F47" s="15"/>
      <c r="G47" s="15"/>
      <c r="H47" s="15"/>
      <c r="I47" s="16"/>
      <c r="J47" s="16"/>
      <c r="K47" s="16"/>
      <c r="L47" s="16"/>
      <c r="M47" s="16"/>
      <c r="N47" s="16"/>
      <c r="O47" s="206" t="s">
        <v>23</v>
      </c>
      <c r="P47" s="206" t="s">
        <v>23</v>
      </c>
      <c r="Q47" s="206" t="s">
        <v>23</v>
      </c>
      <c r="R47" s="206" t="s">
        <v>23</v>
      </c>
      <c r="S47" s="16" t="s">
        <v>102</v>
      </c>
      <c r="T47" s="16"/>
      <c r="U47" s="36">
        <f>36*2.2</f>
        <v>79.2</v>
      </c>
      <c r="V47" s="36">
        <v>10</v>
      </c>
      <c r="W47" s="36">
        <f t="shared" si="0"/>
        <v>10.667</v>
      </c>
      <c r="X47" s="15" t="s">
        <v>103</v>
      </c>
      <c r="Y47" s="15">
        <f>1078*2.2</f>
        <v>2371.6000000000004</v>
      </c>
      <c r="Z47" s="15"/>
      <c r="AA47" s="15"/>
      <c r="AB47" s="15"/>
      <c r="AC47" s="15"/>
      <c r="AD47" s="15"/>
      <c r="AE47" s="15"/>
      <c r="AF47" s="15" t="s">
        <v>104</v>
      </c>
      <c r="AG47" s="370">
        <v>15</v>
      </c>
    </row>
    <row r="48" spans="1:33" ht="13.5" thickBot="1">
      <c r="A48" s="256" t="s">
        <v>60</v>
      </c>
      <c r="B48" s="201"/>
      <c r="C48" s="201"/>
      <c r="D48" s="201"/>
      <c r="E48" s="201"/>
      <c r="F48" s="202"/>
      <c r="G48" s="202"/>
      <c r="H48" s="202"/>
      <c r="I48" s="201"/>
      <c r="J48" s="201"/>
      <c r="K48" s="201"/>
      <c r="L48" s="201"/>
      <c r="M48" s="201"/>
      <c r="N48" s="201"/>
      <c r="O48" s="257" t="s">
        <v>23</v>
      </c>
      <c r="P48" s="257" t="s">
        <v>23</v>
      </c>
      <c r="Q48" s="257" t="s">
        <v>23</v>
      </c>
      <c r="R48" s="257" t="s">
        <v>23</v>
      </c>
      <c r="S48" s="201" t="s">
        <v>108</v>
      </c>
      <c r="T48" s="201"/>
      <c r="U48" s="203">
        <f>29*2.2</f>
        <v>63.800000000000004</v>
      </c>
      <c r="V48" s="203">
        <v>10</v>
      </c>
      <c r="W48" s="203">
        <f t="shared" si="0"/>
        <v>10.667</v>
      </c>
      <c r="X48" s="202" t="s">
        <v>109</v>
      </c>
      <c r="Y48" s="202">
        <f>617*2.2</f>
        <v>1357.4</v>
      </c>
      <c r="Z48" s="202"/>
      <c r="AA48" s="202"/>
      <c r="AB48" s="202"/>
      <c r="AC48" s="202"/>
      <c r="AD48" s="202"/>
      <c r="AE48" s="202"/>
      <c r="AF48" s="202"/>
      <c r="AG48" s="377">
        <v>13</v>
      </c>
    </row>
    <row r="49" spans="1:33" ht="13.5" thickTop="1">
      <c r="A49" s="13" t="s">
        <v>1</v>
      </c>
      <c r="B49" s="13"/>
      <c r="C49" s="13"/>
      <c r="D49" s="13"/>
      <c r="E49" s="13"/>
      <c r="F49" s="12" t="s">
        <v>23</v>
      </c>
      <c r="G49" s="12"/>
      <c r="H49" s="12"/>
      <c r="I49" s="13"/>
      <c r="J49" s="13"/>
      <c r="K49" s="13"/>
      <c r="L49" s="13"/>
      <c r="M49" s="13"/>
      <c r="N49" s="13"/>
      <c r="O49" s="234"/>
      <c r="P49" s="234"/>
      <c r="Q49" s="234"/>
      <c r="R49" s="234"/>
      <c r="S49" s="13" t="s">
        <v>308</v>
      </c>
      <c r="T49" s="13" t="s">
        <v>309</v>
      </c>
      <c r="U49" s="235">
        <f>52*2.2</f>
        <v>114.4</v>
      </c>
      <c r="V49" s="235"/>
      <c r="W49" s="235" t="s">
        <v>87</v>
      </c>
      <c r="X49" s="12" t="s">
        <v>400</v>
      </c>
      <c r="Y49" s="12">
        <f>785*2.2</f>
        <v>1727.0000000000002</v>
      </c>
      <c r="Z49" s="12"/>
      <c r="AA49" s="12"/>
      <c r="AB49" s="12"/>
      <c r="AC49" s="12"/>
      <c r="AD49" s="12"/>
      <c r="AE49" s="12"/>
      <c r="AF49" s="12"/>
      <c r="AG49" s="378"/>
    </row>
    <row r="50" spans="1:33" ht="12.75">
      <c r="A50" s="243" t="s">
        <v>1</v>
      </c>
      <c r="B50" s="243"/>
      <c r="C50" s="243"/>
      <c r="D50" s="243"/>
      <c r="E50" s="243"/>
      <c r="F50" s="244" t="s">
        <v>23</v>
      </c>
      <c r="G50" s="244"/>
      <c r="H50" s="244"/>
      <c r="I50" s="245"/>
      <c r="J50" s="244"/>
      <c r="K50" s="244"/>
      <c r="L50" s="244"/>
      <c r="M50" s="244"/>
      <c r="N50" s="244"/>
      <c r="O50" s="243"/>
      <c r="P50" s="243"/>
      <c r="Q50" s="243"/>
      <c r="R50" s="243"/>
      <c r="S50" s="243" t="s">
        <v>55</v>
      </c>
      <c r="T50" s="243">
        <v>4520</v>
      </c>
      <c r="U50" s="246">
        <f>87*2.2</f>
        <v>191.4</v>
      </c>
      <c r="V50" s="246">
        <v>9.75</v>
      </c>
      <c r="W50" s="246">
        <f t="shared" si="0"/>
        <v>10.400325</v>
      </c>
      <c r="X50" s="244" t="s">
        <v>56</v>
      </c>
      <c r="Y50" s="244">
        <f>1840*2.2</f>
        <v>4048.0000000000005</v>
      </c>
      <c r="Z50" s="244" t="s">
        <v>57</v>
      </c>
      <c r="AA50" s="244">
        <v>25</v>
      </c>
      <c r="AB50" s="244" t="s">
        <v>58</v>
      </c>
      <c r="AC50" s="244" t="s">
        <v>57</v>
      </c>
      <c r="AD50" s="244">
        <v>25</v>
      </c>
      <c r="AE50" s="244" t="s">
        <v>59</v>
      </c>
      <c r="AF50" s="244" t="s">
        <v>50</v>
      </c>
      <c r="AG50" s="379">
        <v>20</v>
      </c>
    </row>
    <row r="51" spans="1:33" ht="12.75">
      <c r="A51" s="69" t="s">
        <v>1</v>
      </c>
      <c r="B51" s="69"/>
      <c r="C51" s="69"/>
      <c r="D51" s="69"/>
      <c r="E51" s="69"/>
      <c r="F51" s="188" t="s">
        <v>23</v>
      </c>
      <c r="G51" s="188"/>
      <c r="H51" s="188"/>
      <c r="I51" s="195"/>
      <c r="J51" s="188"/>
      <c r="K51" s="188"/>
      <c r="L51" s="188"/>
      <c r="M51" s="188"/>
      <c r="N51" s="188"/>
      <c r="O51" s="69"/>
      <c r="P51" s="69"/>
      <c r="Q51" s="69"/>
      <c r="R51" s="69"/>
      <c r="S51" s="69" t="s">
        <v>76</v>
      </c>
      <c r="T51" s="69" t="s">
        <v>311</v>
      </c>
      <c r="U51" s="187">
        <f>66*2.2</f>
        <v>145.20000000000002</v>
      </c>
      <c r="V51" s="187">
        <v>20</v>
      </c>
      <c r="W51" s="187">
        <f t="shared" si="0"/>
        <v>21.334</v>
      </c>
      <c r="X51" s="188" t="s">
        <v>77</v>
      </c>
      <c r="Y51" s="188">
        <f>845*2.2</f>
        <v>1859.0000000000002</v>
      </c>
      <c r="Z51" s="188" t="s">
        <v>78</v>
      </c>
      <c r="AA51" s="188">
        <v>48</v>
      </c>
      <c r="AB51" s="196" t="s">
        <v>79</v>
      </c>
      <c r="AC51" s="188" t="s">
        <v>78</v>
      </c>
      <c r="AD51" s="188">
        <v>48</v>
      </c>
      <c r="AE51" s="197" t="s">
        <v>80</v>
      </c>
      <c r="AF51" s="188" t="s">
        <v>50</v>
      </c>
      <c r="AG51" s="373">
        <v>12</v>
      </c>
    </row>
    <row r="52" spans="1:33" ht="12.75">
      <c r="A52" s="33" t="s">
        <v>60</v>
      </c>
      <c r="B52" s="33"/>
      <c r="C52" s="33"/>
      <c r="D52" s="33"/>
      <c r="E52" s="33"/>
      <c r="F52" s="139" t="s">
        <v>23</v>
      </c>
      <c r="G52" s="139"/>
      <c r="H52" s="139"/>
      <c r="I52" s="192"/>
      <c r="J52" s="139"/>
      <c r="K52" s="139"/>
      <c r="L52" s="139"/>
      <c r="M52" s="139"/>
      <c r="N52" s="139"/>
      <c r="O52" s="33"/>
      <c r="P52" s="33"/>
      <c r="Q52" s="33"/>
      <c r="R52" s="33"/>
      <c r="S52" s="33" t="s">
        <v>61</v>
      </c>
      <c r="T52" s="33">
        <v>4520</v>
      </c>
      <c r="U52" s="183">
        <f>18*2.2</f>
        <v>39.6</v>
      </c>
      <c r="V52" s="183">
        <v>5.3</v>
      </c>
      <c r="W52" s="183">
        <f t="shared" si="0"/>
        <v>5.65351</v>
      </c>
      <c r="X52" s="139" t="s">
        <v>62</v>
      </c>
      <c r="Y52" s="139">
        <f>665*2.2</f>
        <v>1463.0000000000002</v>
      </c>
      <c r="Z52" s="139"/>
      <c r="AA52" s="139"/>
      <c r="AB52" s="139"/>
      <c r="AC52" s="139"/>
      <c r="AD52" s="139"/>
      <c r="AE52" s="139"/>
      <c r="AF52" s="139" t="s">
        <v>63</v>
      </c>
      <c r="AG52" s="372">
        <v>12</v>
      </c>
    </row>
    <row r="53" spans="1:33" ht="12.75">
      <c r="A53" s="69" t="s">
        <v>60</v>
      </c>
      <c r="B53" s="69"/>
      <c r="C53" s="69"/>
      <c r="D53" s="69"/>
      <c r="E53" s="69"/>
      <c r="F53" s="188" t="s">
        <v>23</v>
      </c>
      <c r="G53" s="188"/>
      <c r="H53" s="188"/>
      <c r="I53" s="195"/>
      <c r="J53" s="188"/>
      <c r="K53" s="188"/>
      <c r="L53" s="188"/>
      <c r="M53" s="188"/>
      <c r="N53" s="188"/>
      <c r="O53" s="69"/>
      <c r="P53" s="69"/>
      <c r="Q53" s="69"/>
      <c r="R53" s="69"/>
      <c r="S53" s="69" t="s">
        <v>81</v>
      </c>
      <c r="T53" s="69">
        <v>4505</v>
      </c>
      <c r="U53" s="187">
        <f>20*2.2</f>
        <v>44</v>
      </c>
      <c r="V53" s="187">
        <v>5.3</v>
      </c>
      <c r="W53" s="187">
        <f t="shared" si="0"/>
        <v>5.65351</v>
      </c>
      <c r="X53" s="188" t="s">
        <v>82</v>
      </c>
      <c r="Y53" s="188">
        <f>390*2.2</f>
        <v>858.0000000000001</v>
      </c>
      <c r="Z53" s="188"/>
      <c r="AA53" s="188"/>
      <c r="AB53" s="188"/>
      <c r="AC53" s="188"/>
      <c r="AD53" s="188"/>
      <c r="AE53" s="188"/>
      <c r="AF53" s="188" t="s">
        <v>83</v>
      </c>
      <c r="AG53" s="373">
        <v>12</v>
      </c>
    </row>
    <row r="54" spans="1:33" ht="12.75">
      <c r="A54" s="13" t="s">
        <v>60</v>
      </c>
      <c r="B54" s="13"/>
      <c r="C54" s="13"/>
      <c r="D54" s="13"/>
      <c r="E54" s="13"/>
      <c r="F54" s="12" t="s">
        <v>23</v>
      </c>
      <c r="G54" s="12"/>
      <c r="H54" s="12"/>
      <c r="I54" s="13"/>
      <c r="J54" s="13"/>
      <c r="K54" s="13"/>
      <c r="L54" s="13"/>
      <c r="M54" s="13"/>
      <c r="N54" s="13"/>
      <c r="O54" s="234"/>
      <c r="P54" s="234"/>
      <c r="Q54" s="234"/>
      <c r="R54" s="234"/>
      <c r="S54" s="13" t="s">
        <v>307</v>
      </c>
      <c r="T54" s="13" t="s">
        <v>309</v>
      </c>
      <c r="U54" s="235">
        <f>18*2.2</f>
        <v>39.6</v>
      </c>
      <c r="V54" s="235"/>
      <c r="W54" s="235" t="s">
        <v>87</v>
      </c>
      <c r="X54" s="12" t="s">
        <v>399</v>
      </c>
      <c r="Y54" s="12">
        <f>520*2.2</f>
        <v>1144</v>
      </c>
      <c r="Z54" s="12"/>
      <c r="AA54" s="12"/>
      <c r="AB54" s="12"/>
      <c r="AC54" s="12"/>
      <c r="AD54" s="12"/>
      <c r="AE54" s="12"/>
      <c r="AF54" s="12"/>
      <c r="AG54" s="378"/>
    </row>
    <row r="55" spans="1:33" ht="13.5" thickBot="1">
      <c r="A55" s="236" t="s">
        <v>60</v>
      </c>
      <c r="B55" s="236"/>
      <c r="C55" s="236"/>
      <c r="D55" s="236"/>
      <c r="E55" s="236"/>
      <c r="F55" s="237" t="s">
        <v>23</v>
      </c>
      <c r="G55" s="237"/>
      <c r="H55" s="237"/>
      <c r="I55" s="236"/>
      <c r="J55" s="236"/>
      <c r="K55" s="236"/>
      <c r="L55" s="236"/>
      <c r="M55" s="236"/>
      <c r="N55" s="236"/>
      <c r="O55" s="238"/>
      <c r="P55" s="238"/>
      <c r="Q55" s="238"/>
      <c r="R55" s="238"/>
      <c r="S55" s="236" t="s">
        <v>310</v>
      </c>
      <c r="T55" s="236">
        <v>4005</v>
      </c>
      <c r="U55" s="239">
        <f>13*2.2</f>
        <v>28.6</v>
      </c>
      <c r="V55" s="239"/>
      <c r="W55" s="239" t="s">
        <v>87</v>
      </c>
      <c r="X55" s="237" t="s">
        <v>398</v>
      </c>
      <c r="Y55" s="237">
        <f>365*2.2</f>
        <v>803.0000000000001</v>
      </c>
      <c r="Z55" s="237"/>
      <c r="AA55" s="237"/>
      <c r="AB55" s="237"/>
      <c r="AC55" s="237"/>
      <c r="AD55" s="237"/>
      <c r="AE55" s="237"/>
      <c r="AF55" s="237"/>
      <c r="AG55" s="380"/>
    </row>
    <row r="56" spans="1:33" ht="13.5" thickTop="1">
      <c r="A56" s="20" t="s">
        <v>1</v>
      </c>
      <c r="B56" s="20"/>
      <c r="C56" s="20"/>
      <c r="D56" s="20"/>
      <c r="E56" s="20"/>
      <c r="F56" s="18"/>
      <c r="G56" s="18"/>
      <c r="H56" s="18"/>
      <c r="I56" s="20"/>
      <c r="J56" s="20"/>
      <c r="K56" s="20"/>
      <c r="L56" s="20"/>
      <c r="M56" s="261" t="s">
        <v>146</v>
      </c>
      <c r="N56" s="261"/>
      <c r="O56" s="240"/>
      <c r="P56" s="240"/>
      <c r="Q56" s="240"/>
      <c r="R56" s="240"/>
      <c r="S56" s="258" t="s">
        <v>332</v>
      </c>
      <c r="T56" s="258" t="s">
        <v>334</v>
      </c>
      <c r="U56" s="241">
        <v>218</v>
      </c>
      <c r="V56" s="241"/>
      <c r="W56" s="241">
        <v>41</v>
      </c>
      <c r="X56" s="18"/>
      <c r="Y56" s="18">
        <f>1069*2.2</f>
        <v>2351.8</v>
      </c>
      <c r="Z56" s="18"/>
      <c r="AA56" s="18"/>
      <c r="AB56" s="18"/>
      <c r="AC56" s="18"/>
      <c r="AD56" s="18"/>
      <c r="AE56" s="18"/>
      <c r="AF56" s="18"/>
      <c r="AG56" s="381"/>
    </row>
    <row r="57" spans="1:33" ht="12.75">
      <c r="A57" s="33" t="s">
        <v>1</v>
      </c>
      <c r="B57" s="33"/>
      <c r="C57" s="33"/>
      <c r="D57" s="33"/>
      <c r="E57" s="33"/>
      <c r="F57" s="139"/>
      <c r="G57" s="139"/>
      <c r="H57" s="139"/>
      <c r="I57" s="33"/>
      <c r="J57" s="33"/>
      <c r="K57" s="33"/>
      <c r="L57" s="33"/>
      <c r="M57" s="148" t="s">
        <v>146</v>
      </c>
      <c r="N57" s="148"/>
      <c r="O57" s="204"/>
      <c r="P57" s="204"/>
      <c r="Q57" s="204"/>
      <c r="R57" s="204"/>
      <c r="S57" s="33" t="s">
        <v>94</v>
      </c>
      <c r="T57" s="33" t="s">
        <v>333</v>
      </c>
      <c r="U57" s="259">
        <f>90*2.2</f>
        <v>198.00000000000003</v>
      </c>
      <c r="V57" s="259">
        <v>48</v>
      </c>
      <c r="W57" s="259">
        <v>51.2016</v>
      </c>
      <c r="X57" s="139"/>
      <c r="Y57" s="139">
        <f>1735*2.2</f>
        <v>3817.0000000000005</v>
      </c>
      <c r="Z57" s="139"/>
      <c r="AA57" s="139"/>
      <c r="AB57" s="139"/>
      <c r="AC57" s="139"/>
      <c r="AD57" s="139"/>
      <c r="AE57" s="139"/>
      <c r="AF57" s="139"/>
      <c r="AG57" s="372"/>
    </row>
    <row r="58" spans="1:33" ht="12.75">
      <c r="A58" s="44" t="s">
        <v>1</v>
      </c>
      <c r="B58" s="44"/>
      <c r="C58" s="44"/>
      <c r="D58" s="44"/>
      <c r="E58" s="44"/>
      <c r="F58" s="49"/>
      <c r="G58" s="49"/>
      <c r="H58" s="49"/>
      <c r="I58" s="44"/>
      <c r="J58" s="44"/>
      <c r="K58" s="44"/>
      <c r="L58" s="44"/>
      <c r="M58" s="262" t="s">
        <v>146</v>
      </c>
      <c r="N58" s="262"/>
      <c r="O58" s="44"/>
      <c r="P58" s="44"/>
      <c r="Q58" s="44"/>
      <c r="R58" s="44"/>
      <c r="S58" s="44" t="s">
        <v>99</v>
      </c>
      <c r="T58" s="44">
        <v>4540</v>
      </c>
      <c r="U58" s="260">
        <f>108*2.2</f>
        <v>237.60000000000002</v>
      </c>
      <c r="V58" s="260">
        <v>47</v>
      </c>
      <c r="W58" s="260">
        <f>V58*1.0667</f>
        <v>50.1349</v>
      </c>
      <c r="X58" s="44"/>
      <c r="Y58" s="49">
        <f>2531*2.2</f>
        <v>5568.200000000001</v>
      </c>
      <c r="Z58" s="44"/>
      <c r="AA58" s="44"/>
      <c r="AB58" s="44"/>
      <c r="AC58" s="44"/>
      <c r="AD58" s="44"/>
      <c r="AE58" s="44"/>
      <c r="AF58" s="44"/>
      <c r="AG58" s="382"/>
    </row>
    <row r="59" spans="1:33" ht="12.75">
      <c r="A59" s="33" t="s">
        <v>60</v>
      </c>
      <c r="B59" s="33"/>
      <c r="C59" s="33"/>
      <c r="D59" s="33"/>
      <c r="E59" s="33"/>
      <c r="F59" s="139"/>
      <c r="G59" s="139"/>
      <c r="H59" s="139"/>
      <c r="I59" s="33"/>
      <c r="J59" s="33"/>
      <c r="K59" s="33"/>
      <c r="L59" s="33"/>
      <c r="M59" s="148" t="s">
        <v>146</v>
      </c>
      <c r="N59" s="148"/>
      <c r="O59" s="33"/>
      <c r="P59" s="33"/>
      <c r="Q59" s="33"/>
      <c r="R59" s="33"/>
      <c r="S59" s="33" t="s">
        <v>97</v>
      </c>
      <c r="T59" s="33" t="s">
        <v>333</v>
      </c>
      <c r="U59" s="259">
        <f>25*2.2</f>
        <v>55.00000000000001</v>
      </c>
      <c r="V59" s="259">
        <v>9</v>
      </c>
      <c r="W59" s="259">
        <v>9.6003</v>
      </c>
      <c r="X59" s="33"/>
      <c r="Y59" s="139">
        <f>668*2.2</f>
        <v>1469.6000000000001</v>
      </c>
      <c r="Z59" s="33"/>
      <c r="AA59" s="33"/>
      <c r="AB59" s="33"/>
      <c r="AC59" s="33"/>
      <c r="AD59" s="33"/>
      <c r="AE59" s="33"/>
      <c r="AF59" s="33"/>
      <c r="AG59" s="372"/>
    </row>
    <row r="60" spans="1:33" ht="12.75">
      <c r="A60" s="44" t="s">
        <v>60</v>
      </c>
      <c r="B60" s="44"/>
      <c r="C60" s="44"/>
      <c r="D60" s="44"/>
      <c r="E60" s="44"/>
      <c r="F60" s="49"/>
      <c r="G60" s="49"/>
      <c r="H60" s="49"/>
      <c r="I60" s="44"/>
      <c r="J60" s="44"/>
      <c r="K60" s="44"/>
      <c r="L60" s="44"/>
      <c r="M60" s="262" t="s">
        <v>146</v>
      </c>
      <c r="N60" s="262"/>
      <c r="O60" s="44"/>
      <c r="P60" s="44"/>
      <c r="Q60" s="44"/>
      <c r="R60" s="44"/>
      <c r="S60" s="44" t="s">
        <v>102</v>
      </c>
      <c r="T60" s="44">
        <v>4540</v>
      </c>
      <c r="U60" s="260">
        <f>36*2.2</f>
        <v>79.2</v>
      </c>
      <c r="V60" s="260">
        <v>10</v>
      </c>
      <c r="W60" s="260">
        <f>V60*1.0667</f>
        <v>10.667</v>
      </c>
      <c r="X60" s="44"/>
      <c r="Y60" s="49">
        <f>1078*2.2</f>
        <v>2371.6000000000004</v>
      </c>
      <c r="Z60" s="44"/>
      <c r="AA60" s="44"/>
      <c r="AB60" s="44"/>
      <c r="AC60" s="44"/>
      <c r="AD60" s="44"/>
      <c r="AE60" s="44"/>
      <c r="AF60" s="44"/>
      <c r="AG60" s="382"/>
    </row>
    <row r="61" spans="1:33" ht="12.75">
      <c r="A61" s="13" t="s">
        <v>60</v>
      </c>
      <c r="B61" s="13"/>
      <c r="C61" s="9"/>
      <c r="D61" s="9"/>
      <c r="E61" s="9"/>
      <c r="F61" s="11"/>
      <c r="G61" s="11"/>
      <c r="H61" s="11"/>
      <c r="I61" s="9"/>
      <c r="J61" s="9"/>
      <c r="K61" s="9"/>
      <c r="L61" s="9"/>
      <c r="M61" s="263" t="s">
        <v>146</v>
      </c>
      <c r="N61" s="263"/>
      <c r="O61" s="9"/>
      <c r="P61" s="9"/>
      <c r="Q61" s="9"/>
      <c r="R61" s="9"/>
      <c r="S61" s="9" t="s">
        <v>108</v>
      </c>
      <c r="T61" s="9">
        <v>4530</v>
      </c>
      <c r="U61" s="68">
        <f>29*2.2</f>
        <v>63.800000000000004</v>
      </c>
      <c r="V61" s="68">
        <v>10</v>
      </c>
      <c r="W61" s="68">
        <v>10.67</v>
      </c>
      <c r="X61" s="237" t="s">
        <v>401</v>
      </c>
      <c r="Y61" s="11">
        <f>617*2.2</f>
        <v>1357.4</v>
      </c>
      <c r="Z61" s="9"/>
      <c r="AA61" s="9"/>
      <c r="AB61" s="9"/>
      <c r="AC61" s="9"/>
      <c r="AD61" s="9"/>
      <c r="AE61" s="9"/>
      <c r="AF61" s="9"/>
      <c r="AG61" s="378"/>
    </row>
    <row r="62" spans="1:33" ht="13.5" thickBot="1">
      <c r="A62" s="359" t="s">
        <v>60</v>
      </c>
      <c r="B62" s="359"/>
      <c r="C62" s="359"/>
      <c r="D62" s="359"/>
      <c r="E62" s="359"/>
      <c r="F62" s="360"/>
      <c r="G62" s="360"/>
      <c r="H62" s="360"/>
      <c r="I62" s="359"/>
      <c r="J62" s="359"/>
      <c r="K62" s="359"/>
      <c r="L62" s="359"/>
      <c r="M62" s="360" t="s">
        <v>146</v>
      </c>
      <c r="N62" s="360"/>
      <c r="O62" s="361"/>
      <c r="P62" s="361"/>
      <c r="Q62" s="361"/>
      <c r="R62" s="361"/>
      <c r="S62" s="359" t="s">
        <v>335</v>
      </c>
      <c r="T62" s="359">
        <v>4015</v>
      </c>
      <c r="U62" s="362">
        <f>20*2.2</f>
        <v>44</v>
      </c>
      <c r="V62" s="363"/>
      <c r="W62" s="363" t="s">
        <v>87</v>
      </c>
      <c r="X62" s="360" t="s">
        <v>402</v>
      </c>
      <c r="Y62" s="360">
        <f>558*2.2</f>
        <v>1227.6000000000001</v>
      </c>
      <c r="Z62" s="360"/>
      <c r="AA62" s="360"/>
      <c r="AB62" s="360"/>
      <c r="AC62" s="360"/>
      <c r="AD62" s="360"/>
      <c r="AE62" s="360"/>
      <c r="AF62" s="360"/>
      <c r="AG62" s="383"/>
    </row>
    <row r="63" spans="1:33" ht="13.5" thickTop="1">
      <c r="A63" s="31" t="s">
        <v>1</v>
      </c>
      <c r="B63" s="31"/>
      <c r="C63" s="31"/>
      <c r="D63" s="31"/>
      <c r="E63" s="31"/>
      <c r="F63" s="233"/>
      <c r="G63" s="233"/>
      <c r="H63" s="233"/>
      <c r="I63" s="31"/>
      <c r="J63" s="31"/>
      <c r="K63" s="31"/>
      <c r="L63" s="31"/>
      <c r="M63" s="233"/>
      <c r="N63" s="233" t="s">
        <v>23</v>
      </c>
      <c r="O63" s="389"/>
      <c r="P63" s="389"/>
      <c r="Q63" s="389"/>
      <c r="R63" s="389"/>
      <c r="S63" s="258" t="s">
        <v>332</v>
      </c>
      <c r="T63" s="31"/>
      <c r="U63" s="358">
        <v>218</v>
      </c>
      <c r="V63" s="390"/>
      <c r="W63" s="390">
        <v>41</v>
      </c>
      <c r="X63" s="233"/>
      <c r="Y63" s="233">
        <f>1069*2.2</f>
        <v>2351.8</v>
      </c>
      <c r="Z63" s="233"/>
      <c r="AA63" s="233"/>
      <c r="AB63" s="233"/>
      <c r="AC63" s="233"/>
      <c r="AD63" s="233"/>
      <c r="AE63" s="233"/>
      <c r="AF63" s="233"/>
      <c r="AG63" s="233"/>
    </row>
    <row r="64" spans="1:33" ht="12.75">
      <c r="A64" s="13" t="s">
        <v>1</v>
      </c>
      <c r="B64" s="13"/>
      <c r="C64" s="13"/>
      <c r="D64" s="13"/>
      <c r="E64" s="13"/>
      <c r="F64" s="12"/>
      <c r="G64" s="12"/>
      <c r="H64" s="12"/>
      <c r="I64" s="13"/>
      <c r="J64" s="13"/>
      <c r="K64" s="13"/>
      <c r="L64" s="13"/>
      <c r="M64" s="12"/>
      <c r="N64" s="12" t="s">
        <v>23</v>
      </c>
      <c r="O64" s="234"/>
      <c r="P64" s="234"/>
      <c r="Q64" s="234"/>
      <c r="R64" s="234"/>
      <c r="S64" s="44" t="s">
        <v>99</v>
      </c>
      <c r="T64" s="13"/>
      <c r="U64" s="68">
        <f>108*2.2</f>
        <v>237.60000000000002</v>
      </c>
      <c r="V64" s="235"/>
      <c r="W64" s="235">
        <v>50.13</v>
      </c>
      <c r="X64" s="12"/>
      <c r="Y64" s="12">
        <f>2531*2.2</f>
        <v>5568.200000000001</v>
      </c>
      <c r="Z64" s="12"/>
      <c r="AA64" s="12"/>
      <c r="AB64" s="12"/>
      <c r="AC64" s="12"/>
      <c r="AD64" s="12"/>
      <c r="AE64" s="12"/>
      <c r="AF64" s="12"/>
      <c r="AG64" s="12"/>
    </row>
    <row r="65" spans="1:33" ht="12.75">
      <c r="A65" s="13" t="s">
        <v>60</v>
      </c>
      <c r="B65" s="13"/>
      <c r="C65" s="13"/>
      <c r="D65" s="13"/>
      <c r="E65" s="13"/>
      <c r="F65" s="12"/>
      <c r="G65" s="12"/>
      <c r="H65" s="12"/>
      <c r="I65" s="13"/>
      <c r="J65" s="13"/>
      <c r="K65" s="13"/>
      <c r="L65" s="13"/>
      <c r="M65" s="12"/>
      <c r="N65" s="12" t="s">
        <v>23</v>
      </c>
      <c r="O65" s="234"/>
      <c r="P65" s="234"/>
      <c r="Q65" s="234"/>
      <c r="R65" s="234"/>
      <c r="S65" s="44" t="s">
        <v>102</v>
      </c>
      <c r="T65" s="13"/>
      <c r="U65" s="68">
        <f>36*2.2</f>
        <v>79.2</v>
      </c>
      <c r="V65" s="235"/>
      <c r="W65" s="235">
        <v>10.67</v>
      </c>
      <c r="X65" s="12"/>
      <c r="Y65" s="12">
        <f>1078*2.2</f>
        <v>2371.6000000000004</v>
      </c>
      <c r="Z65" s="12"/>
      <c r="AA65" s="12"/>
      <c r="AB65" s="12"/>
      <c r="AC65" s="12"/>
      <c r="AD65" s="12"/>
      <c r="AE65" s="12"/>
      <c r="AF65" s="12"/>
      <c r="AG65" s="12"/>
    </row>
    <row r="66" spans="1:33" ht="13.5" thickBot="1">
      <c r="A66" s="359" t="s">
        <v>60</v>
      </c>
      <c r="B66" s="359"/>
      <c r="C66" s="359"/>
      <c r="D66" s="359"/>
      <c r="E66" s="359"/>
      <c r="F66" s="360"/>
      <c r="G66" s="360"/>
      <c r="H66" s="360"/>
      <c r="I66" s="359"/>
      <c r="J66" s="359"/>
      <c r="K66" s="359"/>
      <c r="L66" s="359"/>
      <c r="M66" s="360"/>
      <c r="N66" s="360" t="s">
        <v>23</v>
      </c>
      <c r="O66" s="361"/>
      <c r="P66" s="361"/>
      <c r="Q66" s="361"/>
      <c r="R66" s="361"/>
      <c r="S66" s="9" t="s">
        <v>108</v>
      </c>
      <c r="T66" s="359"/>
      <c r="U66" s="362">
        <f>29*2.2</f>
        <v>63.800000000000004</v>
      </c>
      <c r="V66" s="363"/>
      <c r="W66" s="363">
        <v>10.67</v>
      </c>
      <c r="X66" s="360"/>
      <c r="Y66" s="360">
        <f>617*2.2</f>
        <v>1357.4</v>
      </c>
      <c r="Z66" s="360"/>
      <c r="AA66" s="360"/>
      <c r="AB66" s="360"/>
      <c r="AC66" s="360"/>
      <c r="AD66" s="360"/>
      <c r="AE66" s="360"/>
      <c r="AF66" s="360"/>
      <c r="AG66" s="360"/>
    </row>
    <row r="67" spans="1:33" ht="12.75">
      <c r="A67" s="243" t="s">
        <v>1</v>
      </c>
      <c r="B67" s="243"/>
      <c r="C67" s="243"/>
      <c r="D67" s="243"/>
      <c r="E67" s="243"/>
      <c r="F67" s="244"/>
      <c r="G67" s="244" t="s">
        <v>146</v>
      </c>
      <c r="H67" s="244" t="s">
        <v>146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 t="s">
        <v>55</v>
      </c>
      <c r="T67" s="243">
        <v>4515</v>
      </c>
      <c r="U67" s="387">
        <f>87*2.2</f>
        <v>191.4</v>
      </c>
      <c r="V67" s="387">
        <v>9.75</v>
      </c>
      <c r="W67" s="387">
        <v>10.400325</v>
      </c>
      <c r="X67" s="243"/>
      <c r="Y67" s="244">
        <f>1416*2.2</f>
        <v>3115.2000000000003</v>
      </c>
      <c r="Z67" s="243"/>
      <c r="AA67" s="243"/>
      <c r="AB67" s="243"/>
      <c r="AC67" s="243"/>
      <c r="AD67" s="243"/>
      <c r="AE67" s="243"/>
      <c r="AF67" s="243"/>
      <c r="AG67" s="388"/>
    </row>
    <row r="68" spans="1:33" ht="12.75">
      <c r="A68" s="69" t="s">
        <v>1</v>
      </c>
      <c r="B68" s="69"/>
      <c r="C68" s="69"/>
      <c r="D68" s="69"/>
      <c r="E68" s="69"/>
      <c r="F68" s="188"/>
      <c r="G68" s="188" t="s">
        <v>146</v>
      </c>
      <c r="H68" s="188" t="s">
        <v>146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 t="s">
        <v>71</v>
      </c>
      <c r="T68" s="69">
        <v>4520</v>
      </c>
      <c r="U68" s="70">
        <f>73*2.2</f>
        <v>160.60000000000002</v>
      </c>
      <c r="V68" s="70">
        <v>27</v>
      </c>
      <c r="W68" s="70">
        <v>28.8009</v>
      </c>
      <c r="X68" s="69"/>
      <c r="Y68" s="188">
        <f>1842*2.2</f>
        <v>4052.4000000000005</v>
      </c>
      <c r="Z68" s="69"/>
      <c r="AA68" s="69"/>
      <c r="AB68" s="69"/>
      <c r="AC68" s="69"/>
      <c r="AD68" s="69"/>
      <c r="AE68" s="69"/>
      <c r="AF68" s="69"/>
      <c r="AG68" s="384"/>
    </row>
    <row r="69" spans="1:33" ht="12.75">
      <c r="A69" s="44" t="s">
        <v>1</v>
      </c>
      <c r="B69" s="44"/>
      <c r="C69" s="44"/>
      <c r="D69" s="44"/>
      <c r="E69" s="44"/>
      <c r="F69" s="49"/>
      <c r="G69" s="49" t="s">
        <v>146</v>
      </c>
      <c r="H69" s="49" t="s">
        <v>146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 t="s">
        <v>76</v>
      </c>
      <c r="T69" s="44">
        <v>4525</v>
      </c>
      <c r="U69" s="260">
        <f>66*2.2</f>
        <v>145.20000000000002</v>
      </c>
      <c r="V69" s="260">
        <v>20</v>
      </c>
      <c r="W69" s="260">
        <v>21.334</v>
      </c>
      <c r="X69" s="44"/>
      <c r="Y69" s="49">
        <f>780*2.2</f>
        <v>1716.0000000000002</v>
      </c>
      <c r="Z69" s="44"/>
      <c r="AA69" s="44"/>
      <c r="AB69" s="44"/>
      <c r="AC69" s="44"/>
      <c r="AD69" s="44"/>
      <c r="AE69" s="44"/>
      <c r="AF69" s="44"/>
      <c r="AG69" s="382"/>
    </row>
    <row r="70" spans="1:33" ht="12.75">
      <c r="A70" s="33" t="s">
        <v>60</v>
      </c>
      <c r="B70" s="33"/>
      <c r="C70" s="33"/>
      <c r="D70" s="33"/>
      <c r="E70" s="33"/>
      <c r="F70" s="139"/>
      <c r="G70" s="139" t="s">
        <v>146</v>
      </c>
      <c r="H70" s="139" t="s">
        <v>146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 t="s">
        <v>61</v>
      </c>
      <c r="T70" s="33">
        <v>4515</v>
      </c>
      <c r="U70" s="259">
        <f>18*2.2</f>
        <v>39.6</v>
      </c>
      <c r="V70" s="259">
        <v>5.3</v>
      </c>
      <c r="W70" s="259">
        <v>5.65351</v>
      </c>
      <c r="X70" s="33"/>
      <c r="Y70" s="139">
        <f>507*2.2</f>
        <v>1115.4</v>
      </c>
      <c r="Z70" s="33"/>
      <c r="AA70" s="33"/>
      <c r="AB70" s="33"/>
      <c r="AC70" s="33"/>
      <c r="AD70" s="33"/>
      <c r="AE70" s="33"/>
      <c r="AF70" s="33"/>
      <c r="AG70" s="385"/>
    </row>
    <row r="71" spans="1:33" ht="12.75">
      <c r="A71" s="69" t="s">
        <v>60</v>
      </c>
      <c r="B71" s="69"/>
      <c r="C71" s="69"/>
      <c r="D71" s="69"/>
      <c r="E71" s="69"/>
      <c r="F71" s="188"/>
      <c r="G71" s="188" t="s">
        <v>146</v>
      </c>
      <c r="H71" s="188" t="s">
        <v>146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 t="s">
        <v>74</v>
      </c>
      <c r="T71" s="69">
        <v>4520</v>
      </c>
      <c r="U71" s="70">
        <f>21*2.2</f>
        <v>46.2</v>
      </c>
      <c r="V71" s="70">
        <v>6</v>
      </c>
      <c r="W71" s="70">
        <v>6.4002</v>
      </c>
      <c r="X71" s="69"/>
      <c r="Y71" s="188">
        <f>700*2.2</f>
        <v>1540.0000000000002</v>
      </c>
      <c r="Z71" s="69"/>
      <c r="AA71" s="69"/>
      <c r="AB71" s="69"/>
      <c r="AC71" s="69"/>
      <c r="AD71" s="69"/>
      <c r="AE71" s="69"/>
      <c r="AF71" s="69"/>
      <c r="AG71" s="384"/>
    </row>
    <row r="72" spans="1:33" ht="13.5" thickBot="1">
      <c r="A72" s="44" t="s">
        <v>60</v>
      </c>
      <c r="B72" s="265"/>
      <c r="C72" s="265"/>
      <c r="D72" s="265"/>
      <c r="E72" s="265"/>
      <c r="F72" s="266"/>
      <c r="G72" s="266" t="s">
        <v>146</v>
      </c>
      <c r="H72" s="266" t="s">
        <v>146</v>
      </c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 t="s">
        <v>81</v>
      </c>
      <c r="T72" s="265">
        <v>4525</v>
      </c>
      <c r="U72" s="267">
        <f>20*2.2</f>
        <v>44</v>
      </c>
      <c r="V72" s="267">
        <v>5.3</v>
      </c>
      <c r="W72" s="267">
        <v>5.65351</v>
      </c>
      <c r="X72" s="265"/>
      <c r="Y72" s="266">
        <f>350*2.2</f>
        <v>770.0000000000001</v>
      </c>
      <c r="Z72" s="265"/>
      <c r="AA72" s="265"/>
      <c r="AB72" s="265"/>
      <c r="AC72" s="265"/>
      <c r="AD72" s="265"/>
      <c r="AE72" s="265"/>
      <c r="AF72" s="265"/>
      <c r="AG72" s="386"/>
    </row>
  </sheetData>
  <sheetProtection/>
  <mergeCells count="18">
    <mergeCell ref="C10:R10"/>
    <mergeCell ref="E11:E12"/>
    <mergeCell ref="I11:I12"/>
    <mergeCell ref="J11:J12"/>
    <mergeCell ref="F11:F12"/>
    <mergeCell ref="L11:L12"/>
    <mergeCell ref="O11:O12"/>
    <mergeCell ref="N11:N12"/>
    <mergeCell ref="B11:B12"/>
    <mergeCell ref="C11:C12"/>
    <mergeCell ref="D11:D12"/>
    <mergeCell ref="R11:R12"/>
    <mergeCell ref="Q11:Q12"/>
    <mergeCell ref="M11:M12"/>
    <mergeCell ref="P11:P12"/>
    <mergeCell ref="K11:K12"/>
    <mergeCell ref="G11:G12"/>
    <mergeCell ref="H11:H12"/>
  </mergeCells>
  <printOptions/>
  <pageMargins left="0.75" right="0.75" top="0.29" bottom="0.2" header="0.5" footer="0.5"/>
  <pageSetup fitToHeight="1" fitToWidth="1" horizontalDpi="600" verticalDpi="600" orientation="landscape" paperSize="17" scale="53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7109375" style="0" bestFit="1" customWidth="1"/>
    <col min="2" max="2" width="13.8515625" style="0" customWidth="1"/>
  </cols>
  <sheetData>
    <row r="1" ht="12.75">
      <c r="B1" t="s">
        <v>282</v>
      </c>
    </row>
    <row r="2" ht="12.75">
      <c r="B2" t="s">
        <v>283</v>
      </c>
    </row>
    <row r="3" ht="12.75">
      <c r="B3" t="s">
        <v>305</v>
      </c>
    </row>
    <row r="4" ht="12.75">
      <c r="B4" t="s">
        <v>359</v>
      </c>
    </row>
    <row r="5" ht="12.75">
      <c r="B5" t="s">
        <v>360</v>
      </c>
    </row>
    <row r="6" ht="12.75">
      <c r="B6" t="s">
        <v>422</v>
      </c>
    </row>
    <row r="7" ht="12.75">
      <c r="B7" t="s">
        <v>443</v>
      </c>
    </row>
    <row r="8" ht="12.75">
      <c r="B8" t="s">
        <v>447</v>
      </c>
    </row>
    <row r="9" ht="12.75">
      <c r="B9" t="s">
        <v>452</v>
      </c>
    </row>
    <row r="10" ht="12.75">
      <c r="C10" s="352" t="s">
        <v>453</v>
      </c>
    </row>
    <row r="11" s="34" customFormat="1" ht="12.75">
      <c r="C11" s="34" t="s">
        <v>418</v>
      </c>
    </row>
    <row r="12" ht="12.75">
      <c r="C12" t="s">
        <v>419</v>
      </c>
    </row>
    <row r="13" ht="12.75">
      <c r="C13" t="s">
        <v>420</v>
      </c>
    </row>
    <row r="14" spans="1:2" ht="12.75">
      <c r="A14" s="400">
        <v>39952</v>
      </c>
      <c r="B14" t="s">
        <v>493</v>
      </c>
    </row>
    <row r="17" s="34" customFormat="1" ht="12.75">
      <c r="B17" s="316" t="s">
        <v>383</v>
      </c>
    </row>
    <row r="18" ht="12.75">
      <c r="B18" s="54" t="s">
        <v>384</v>
      </c>
    </row>
    <row r="19" spans="2:3" ht="12.75">
      <c r="B19" s="308" t="s">
        <v>385</v>
      </c>
      <c r="C19" t="s">
        <v>386</v>
      </c>
    </row>
    <row r="20" spans="2:3" ht="12.75">
      <c r="B20" s="308" t="s">
        <v>387</v>
      </c>
      <c r="C20" t="s">
        <v>388</v>
      </c>
    </row>
    <row r="21" ht="12.75">
      <c r="B21" s="315" t="s">
        <v>389</v>
      </c>
    </row>
    <row r="22" spans="2:3" ht="12.75">
      <c r="B22" s="308" t="s">
        <v>390</v>
      </c>
      <c r="C22" t="s">
        <v>391</v>
      </c>
    </row>
    <row r="23" ht="12.75">
      <c r="B23" s="308"/>
    </row>
    <row r="24" ht="12.75">
      <c r="B24" s="315" t="s">
        <v>392</v>
      </c>
    </row>
    <row r="25" ht="12.75">
      <c r="B25" s="308" t="s">
        <v>394</v>
      </c>
    </row>
    <row r="26" ht="12.75">
      <c r="B26" s="308" t="s">
        <v>393</v>
      </c>
    </row>
    <row r="27" ht="12.75">
      <c r="B27" s="308" t="s">
        <v>395</v>
      </c>
    </row>
    <row r="28" ht="12.75">
      <c r="C28" t="s">
        <v>396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M26" sqref="M26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248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6" t="s">
        <v>12</v>
      </c>
      <c r="L5" s="227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73">
        <v>2305</v>
      </c>
      <c r="F6" s="106"/>
      <c r="G6" s="107"/>
      <c r="K6" s="228">
        <f>VLOOKUP(E6,'Tractor Spec'!A2:K19,3,FALSE)</f>
        <v>1307.68</v>
      </c>
      <c r="L6" s="229">
        <f>VLOOKUP(E6,'Tractor Spec'!A2:K19,7,FALSE)</f>
        <v>26.50996574085403</v>
      </c>
      <c r="M6" s="114">
        <f>K6*(L6/L8)</f>
        <v>607.12</v>
      </c>
      <c r="N6" s="115">
        <f>K6-M6</f>
        <v>700.5600000000001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J7">
        <f>680/254</f>
        <v>2.677165354330709</v>
      </c>
      <c r="K7" s="214">
        <v>190</v>
      </c>
      <c r="L7" s="222">
        <f>VLOOKUP(E6,'Tractor Spec'!A2:L19,12,FALSE)</f>
        <v>4</v>
      </c>
      <c r="M7" s="114">
        <f>K7*(L7/L6)</f>
        <v>28.66846405722727</v>
      </c>
      <c r="N7" s="115">
        <f>K7-M7</f>
        <v>161.33153594277275</v>
      </c>
      <c r="O7" s="111"/>
      <c r="P7" s="53"/>
    </row>
    <row r="8" spans="1:16" ht="13.5" thickBot="1">
      <c r="A8" s="53"/>
      <c r="B8" s="118"/>
      <c r="C8" s="413" t="s">
        <v>111</v>
      </c>
      <c r="D8" s="414"/>
      <c r="E8" s="190" t="s">
        <v>35</v>
      </c>
      <c r="F8" s="106"/>
      <c r="G8" s="107"/>
      <c r="J8" s="92">
        <f>VLOOKUP(E8,Tires!S18:V48,3,FALSE)</f>
        <v>20</v>
      </c>
      <c r="K8" s="215">
        <f>J8*2</f>
        <v>40</v>
      </c>
      <c r="L8" s="223">
        <f>VLOOKUP(E6,'Tractor Spec'!A2:K19,6,FALSE)</f>
        <v>57.1</v>
      </c>
      <c r="M8" s="114">
        <f>K8</f>
        <v>40</v>
      </c>
      <c r="N8" s="115">
        <v>0</v>
      </c>
      <c r="O8" s="111"/>
      <c r="P8" s="53"/>
    </row>
    <row r="9" spans="1:16" ht="13.5" thickBot="1">
      <c r="A9" s="53"/>
      <c r="B9" s="118"/>
      <c r="C9" s="413" t="s">
        <v>112</v>
      </c>
      <c r="D9" s="414"/>
      <c r="E9" s="190" t="s">
        <v>33</v>
      </c>
      <c r="F9" s="106"/>
      <c r="G9" s="107"/>
      <c r="J9" s="92">
        <f>VLOOKUP(E9,Tires!S18:V48,3,FALSE)</f>
        <v>40</v>
      </c>
      <c r="K9" s="215">
        <f>J9*2</f>
        <v>80</v>
      </c>
      <c r="L9" s="224">
        <v>0</v>
      </c>
      <c r="M9" s="114">
        <v>0</v>
      </c>
      <c r="N9" s="115">
        <f>K9</f>
        <v>80</v>
      </c>
      <c r="O9" s="111"/>
      <c r="P9" s="53"/>
    </row>
    <row r="10" spans="1:16" ht="13.5" thickBot="1">
      <c r="A10" s="53"/>
      <c r="B10" s="118"/>
      <c r="C10" s="103"/>
      <c r="D10" s="104"/>
      <c r="E10" s="105"/>
      <c r="F10" s="173" t="s">
        <v>456</v>
      </c>
      <c r="G10" s="174"/>
      <c r="H10" s="175" t="s">
        <v>134</v>
      </c>
      <c r="I10" s="287">
        <f>SUM(K6:K9)</f>
        <v>1617.68</v>
      </c>
      <c r="J10" s="175">
        <f>(SUMPRODUCT(K6:K9,L6:L9))/I10</f>
        <v>23.311502893031996</v>
      </c>
      <c r="K10" s="216"/>
      <c r="L10" s="216"/>
      <c r="M10" s="221">
        <f>SUM(M6:M9)</f>
        <v>675.7884640572273</v>
      </c>
      <c r="N10" s="176">
        <f>SUM(N6:N9)</f>
        <v>941.8915359427729</v>
      </c>
      <c r="O10" s="111"/>
      <c r="P10" s="53"/>
    </row>
    <row r="11" spans="1:16" ht="13.5" thickBot="1">
      <c r="A11" s="53"/>
      <c r="B11" s="118"/>
      <c r="C11" s="110"/>
      <c r="D11" s="110"/>
      <c r="E11" s="105"/>
      <c r="F11" s="110"/>
      <c r="G11" s="110"/>
      <c r="H11" s="25"/>
      <c r="I11" s="25"/>
      <c r="J11" s="25"/>
      <c r="K11" s="217"/>
      <c r="L11" s="217"/>
      <c r="M11" s="130"/>
      <c r="N11" s="130"/>
      <c r="O11" s="111"/>
      <c r="P11" s="53"/>
    </row>
    <row r="12" spans="1:16" ht="13.5" thickBot="1">
      <c r="A12" s="53"/>
      <c r="B12" s="118"/>
      <c r="C12" s="413" t="s">
        <v>425</v>
      </c>
      <c r="D12" s="414"/>
      <c r="E12" s="191" t="s">
        <v>138</v>
      </c>
      <c r="F12" s="320"/>
      <c r="G12" s="107"/>
      <c r="H12" s="25"/>
      <c r="I12" s="25"/>
      <c r="J12" s="25"/>
      <c r="K12" s="217">
        <f>VLOOKUP(E12,Attachment!A146:C148,2,FALSE)</f>
        <v>0</v>
      </c>
      <c r="L12" s="217">
        <f>VLOOKUP(E12,Attachment!A146:C148,3,FALSE)</f>
        <v>0</v>
      </c>
      <c r="M12" s="115">
        <f>K12*(L12/L8)</f>
        <v>0</v>
      </c>
      <c r="N12" s="115">
        <f>K12-M12</f>
        <v>0</v>
      </c>
      <c r="O12" s="111"/>
      <c r="P12" s="53"/>
    </row>
    <row r="13" spans="1:16" s="342" customFormat="1" ht="15.75" thickBot="1">
      <c r="A13" s="335"/>
      <c r="B13" s="336"/>
      <c r="C13" s="337"/>
      <c r="D13" s="337"/>
      <c r="E13" s="347" t="str">
        <f>IF(E12="No Loader"," ","**Refer to Loader Operator's Manual for Proper Ballast Recommendation")</f>
        <v> </v>
      </c>
      <c r="F13" s="337"/>
      <c r="G13" s="337"/>
      <c r="H13" s="338"/>
      <c r="I13" s="338"/>
      <c r="J13" s="338">
        <f>VLOOKUP(E14,Attachment!A3:D4,4,FALSE)</f>
        <v>-4.059055118110236</v>
      </c>
      <c r="K13" s="339"/>
      <c r="L13" s="339"/>
      <c r="M13" s="340"/>
      <c r="N13" s="340"/>
      <c r="O13" s="341"/>
      <c r="P13" s="335"/>
    </row>
    <row r="14" spans="1:16" ht="13.5" thickBot="1">
      <c r="A14" s="53"/>
      <c r="B14" s="118"/>
      <c r="C14" s="413" t="s">
        <v>139</v>
      </c>
      <c r="D14" s="414"/>
      <c r="E14" s="191" t="s">
        <v>224</v>
      </c>
      <c r="F14" s="106"/>
      <c r="G14" s="107"/>
      <c r="H14" s="25"/>
      <c r="I14" s="156">
        <f>VLOOKUP(E6,'Tractor Spec'!A1:J30,10,FALSE)</f>
        <v>-30.5</v>
      </c>
      <c r="J14" s="25">
        <f>VLOOKUP('2305'!E14,Attachment!A3:D4,2,FALSE)</f>
        <v>-1.575</v>
      </c>
      <c r="K14" s="217">
        <f>VLOOKUP('2305'!E14,Attachment!A3:D4,3,FALSE)</f>
        <v>65</v>
      </c>
      <c r="L14" s="216">
        <f>J14+I14</f>
        <v>-32.075</v>
      </c>
      <c r="M14" s="115">
        <f>K14*(L14/L8)</f>
        <v>-36.51269702276708</v>
      </c>
      <c r="N14" s="115">
        <f>K14-M14</f>
        <v>101.51269702276707</v>
      </c>
      <c r="O14" s="111"/>
      <c r="P14" s="53"/>
    </row>
    <row r="15" spans="1:16" ht="13.5" thickBot="1">
      <c r="A15" s="53"/>
      <c r="B15" s="118"/>
      <c r="C15" s="413" t="s">
        <v>278</v>
      </c>
      <c r="D15" s="414"/>
      <c r="E15" s="191" t="s">
        <v>458</v>
      </c>
      <c r="F15" s="320"/>
      <c r="G15" s="107"/>
      <c r="H15" s="25"/>
      <c r="I15" s="25"/>
      <c r="J15" s="25">
        <f>VLOOKUP(E15,Attachment!A11:C119,3,FALSE)</f>
        <v>-24</v>
      </c>
      <c r="K15" s="217">
        <f>VLOOKUP(E15,Attachment!A12:C119,2,FALSE)</f>
        <v>327.8688524590164</v>
      </c>
      <c r="L15" s="216">
        <f>I14+J15+J13</f>
        <v>-58.55905511811024</v>
      </c>
      <c r="M15" s="115">
        <f>K15*(L15/L8)</f>
        <v>-336.2467636192486</v>
      </c>
      <c r="N15" s="115">
        <f>K15-M15</f>
        <v>664.115616078265</v>
      </c>
      <c r="O15" s="111"/>
      <c r="P15" s="53"/>
    </row>
    <row r="16" spans="1:16" ht="13.5" hidden="1" thickBot="1">
      <c r="A16" s="53"/>
      <c r="B16" s="118"/>
      <c r="C16" s="413" t="s">
        <v>279</v>
      </c>
      <c r="D16" s="414"/>
      <c r="E16" s="191" t="s">
        <v>234</v>
      </c>
      <c r="F16" s="122"/>
      <c r="G16" s="291"/>
      <c r="H16" s="25"/>
      <c r="I16" s="25"/>
      <c r="J16" s="25"/>
      <c r="K16" s="217">
        <f>VLOOKUP(E16,Attachment!A133:C142,2,FALSE)</f>
        <v>0</v>
      </c>
      <c r="L16" s="216">
        <f>VLOOKUP(E16,Attachment!A13:C142,3,FALSE)</f>
        <v>0</v>
      </c>
      <c r="M16" s="115">
        <f>K16*(L16/L8)</f>
        <v>0</v>
      </c>
      <c r="N16" s="115">
        <f>K16-M16</f>
        <v>0</v>
      </c>
      <c r="O16" s="111"/>
      <c r="P16" s="53"/>
    </row>
    <row r="17" spans="1:16" ht="13.5" hidden="1" thickBot="1">
      <c r="A17" s="53"/>
      <c r="B17" s="118"/>
      <c r="C17" s="413" t="s">
        <v>280</v>
      </c>
      <c r="D17" s="414"/>
      <c r="E17" s="191" t="s">
        <v>234</v>
      </c>
      <c r="F17" s="122" t="s">
        <v>70</v>
      </c>
      <c r="G17" s="291"/>
      <c r="H17" s="25"/>
      <c r="I17" s="25"/>
      <c r="J17" s="25"/>
      <c r="K17" s="217">
        <f>VLOOKUP(E17,Attachment!A83:C121,2,FALSE)</f>
        <v>0</v>
      </c>
      <c r="L17" s="216">
        <f>VLOOKUP(E17,Attachment!A13:C142,3,FALSE)</f>
        <v>0</v>
      </c>
      <c r="M17" s="115">
        <f>K17*(L17/L20)</f>
        <v>0</v>
      </c>
      <c r="N17" s="115">
        <f>K17-M17</f>
        <v>0</v>
      </c>
      <c r="O17" s="111"/>
      <c r="P17" s="53"/>
    </row>
    <row r="18" spans="1:16" ht="13.5" thickBot="1">
      <c r="A18" s="53"/>
      <c r="B18" s="118"/>
      <c r="C18" s="110"/>
      <c r="D18" s="110"/>
      <c r="E18" s="105"/>
      <c r="F18" s="173" t="s">
        <v>421</v>
      </c>
      <c r="G18" s="174"/>
      <c r="H18" s="25"/>
      <c r="I18" s="25"/>
      <c r="J18" s="25"/>
      <c r="K18" s="217"/>
      <c r="L18" s="217"/>
      <c r="M18" s="221">
        <f>SUM(M10:M17)</f>
        <v>303.02900341521166</v>
      </c>
      <c r="N18" s="176">
        <f>SUM(N10:N17)</f>
        <v>1707.519849043805</v>
      </c>
      <c r="O18" s="111"/>
      <c r="P18" s="53"/>
    </row>
    <row r="19" spans="1:16" s="342" customFormat="1" ht="16.5" thickBot="1">
      <c r="A19" s="335"/>
      <c r="B19" s="336"/>
      <c r="C19" s="337"/>
      <c r="D19" s="337"/>
      <c r="E19" s="347" t="str">
        <f>IF(E15="No Attachment","","**Refer to Attachment Compatibility")</f>
        <v>**Refer to Attachment Compatibility</v>
      </c>
      <c r="F19" s="337"/>
      <c r="G19" s="337"/>
      <c r="H19" s="343"/>
      <c r="I19" s="343"/>
      <c r="J19" s="343"/>
      <c r="K19" s="344"/>
      <c r="L19" s="345"/>
      <c r="M19" s="337"/>
      <c r="N19" s="337"/>
      <c r="O19" s="341"/>
      <c r="P19" s="335"/>
    </row>
    <row r="20" spans="1:16" ht="13.5" thickBot="1">
      <c r="A20" s="53"/>
      <c r="B20" s="118"/>
      <c r="C20" s="413" t="s">
        <v>113</v>
      </c>
      <c r="D20" s="414"/>
      <c r="E20" s="190" t="s">
        <v>116</v>
      </c>
      <c r="F20" s="106"/>
      <c r="G20" s="107"/>
      <c r="I20">
        <f>VLOOKUP(E20,Tires!S2:T5,2,FALSE)</f>
        <v>0</v>
      </c>
      <c r="J20">
        <f>VLOOKUP(E8,Tires!S18:W48,5,FALSE)</f>
        <v>3.2001</v>
      </c>
      <c r="K20" s="215">
        <v>0</v>
      </c>
      <c r="L20" s="223">
        <f>L8</f>
        <v>57.1</v>
      </c>
      <c r="M20" s="114">
        <f>K20</f>
        <v>0</v>
      </c>
      <c r="N20" s="115">
        <v>0</v>
      </c>
      <c r="O20" s="111"/>
      <c r="P20" s="53"/>
    </row>
    <row r="21" spans="1:16" ht="13.5" thickBot="1">
      <c r="A21" s="53"/>
      <c r="B21" s="118"/>
      <c r="C21" s="413" t="s">
        <v>114</v>
      </c>
      <c r="D21" s="414"/>
      <c r="E21" s="190" t="s">
        <v>116</v>
      </c>
      <c r="F21" s="106"/>
      <c r="G21" s="107"/>
      <c r="I21">
        <f>VLOOKUP(E21,Tires!S2:T5,2,FALSE)</f>
        <v>0</v>
      </c>
      <c r="J21">
        <f>VLOOKUP(E9,Tires!S18:W48,5,FALSE)</f>
        <v>12.8004</v>
      </c>
      <c r="K21" s="215">
        <f>J21*I21</f>
        <v>0</v>
      </c>
      <c r="L21" s="224">
        <v>0</v>
      </c>
      <c r="M21" s="114">
        <v>0</v>
      </c>
      <c r="N21" s="115">
        <f>K21</f>
        <v>0</v>
      </c>
      <c r="O21" s="111"/>
      <c r="P21" s="53"/>
    </row>
    <row r="22" spans="1:16" ht="13.5" thickBot="1">
      <c r="A22" s="53"/>
      <c r="B22" s="118"/>
      <c r="C22" s="110"/>
      <c r="D22" s="110"/>
      <c r="E22" s="105"/>
      <c r="F22" s="110"/>
      <c r="G22" s="110"/>
      <c r="H22" s="25"/>
      <c r="I22" s="25"/>
      <c r="J22" s="25"/>
      <c r="K22" s="217"/>
      <c r="L22" s="217"/>
      <c r="M22" s="130"/>
      <c r="N22" s="130"/>
      <c r="O22" s="111"/>
      <c r="P22" s="53"/>
    </row>
    <row r="23" spans="1:16" ht="13.5" thickBot="1">
      <c r="A23" s="53"/>
      <c r="B23" s="118"/>
      <c r="C23" s="413" t="s">
        <v>115</v>
      </c>
      <c r="D23" s="414"/>
      <c r="E23" s="190" t="s">
        <v>239</v>
      </c>
      <c r="F23" s="112"/>
      <c r="G23" s="293"/>
      <c r="H23" s="25">
        <f>VLOOKUP(E23,Weights!A5:D6,4,FALSE)</f>
        <v>0</v>
      </c>
      <c r="I23" s="158">
        <f>VLOOKUP(E6,'Tractor Spec'!A2:K19,11,FALSE)</f>
        <v>71.5</v>
      </c>
      <c r="J23" s="25">
        <f>VLOOKUP(E23,Weights!A5:D6,2,FALSE)</f>
        <v>0</v>
      </c>
      <c r="K23" s="217">
        <f>VLOOKUP(E23,Weights!A5:D6,3,FALSE)</f>
        <v>0</v>
      </c>
      <c r="L23" s="217">
        <f>J23+I23</f>
        <v>71.5</v>
      </c>
      <c r="M23" s="115">
        <f>K23*(L23/L8)</f>
        <v>0</v>
      </c>
      <c r="N23" s="121">
        <f>K23-M23</f>
        <v>0</v>
      </c>
      <c r="O23" s="111"/>
      <c r="P23" s="53"/>
    </row>
    <row r="24" spans="1:16" ht="13.5" thickBot="1">
      <c r="A24" s="53"/>
      <c r="B24" s="118"/>
      <c r="C24" s="413" t="s">
        <v>296</v>
      </c>
      <c r="D24" s="414"/>
      <c r="E24" s="190">
        <v>3</v>
      </c>
      <c r="F24" s="106"/>
      <c r="G24" s="107"/>
      <c r="H24" s="25"/>
      <c r="I24" s="25"/>
      <c r="J24" s="25"/>
      <c r="K24" s="217">
        <f>VLOOKUP(E24,Weights!B8:C25,2,FALSE)</f>
        <v>126</v>
      </c>
      <c r="L24" s="217">
        <f>I23+H23</f>
        <v>71.5</v>
      </c>
      <c r="M24" s="115">
        <f>K24*(L24/L8)</f>
        <v>157.77583187390542</v>
      </c>
      <c r="N24" s="115">
        <f>K24-M24</f>
        <v>-31.775831873905418</v>
      </c>
      <c r="O24" s="111"/>
      <c r="P24" s="53"/>
    </row>
    <row r="25" spans="1:16" ht="13.5" thickBot="1">
      <c r="A25" s="53"/>
      <c r="B25" s="118"/>
      <c r="C25" s="413" t="s">
        <v>249</v>
      </c>
      <c r="D25" s="414"/>
      <c r="E25" s="190" t="s">
        <v>242</v>
      </c>
      <c r="F25" s="106"/>
      <c r="G25" s="107"/>
      <c r="H25" s="25"/>
      <c r="I25" s="25"/>
      <c r="J25" s="25"/>
      <c r="K25" s="217">
        <f>VLOOKUP(E25,Weights!A23:C28,3,FALSE)</f>
        <v>0</v>
      </c>
      <c r="L25" s="217">
        <v>0</v>
      </c>
      <c r="M25" s="115">
        <v>0</v>
      </c>
      <c r="N25" s="114">
        <f>K25</f>
        <v>0</v>
      </c>
      <c r="O25" s="111"/>
      <c r="P25" s="53"/>
    </row>
    <row r="26" spans="1:16" ht="13.5" thickBot="1">
      <c r="A26" s="53"/>
      <c r="B26" s="118"/>
      <c r="C26" s="110"/>
      <c r="D26" s="110"/>
      <c r="E26" s="127"/>
      <c r="F26" s="173" t="s">
        <v>137</v>
      </c>
      <c r="G26" s="290"/>
      <c r="H26" s="153"/>
      <c r="I26" s="153"/>
      <c r="J26" s="153"/>
      <c r="K26" s="218"/>
      <c r="L26" s="218"/>
      <c r="M26" s="125">
        <f>IF(SUM(M23:M25,M12:M17)&gt;1650,("OVERLOAD"),IF(SUM(M6:M9,M19:M25,M12:M17)&lt;0,("BALLAST"),((SUM(M6:M9,M19:M25,M12:M17)))))</f>
        <v>460.8048352891171</v>
      </c>
      <c r="N26" s="125">
        <f>IF(SUM(N7,N23:N24,N12:N17)&gt;1477,("OVERLOAD"),IF(SUM(N6:N9,N19:N25,N12:N17)&lt;0,("BALLAST"),IF(M26="BALLAST",("-"),SUM(N6:N9,N19:N25,N12:N17))))</f>
        <v>1675.7440171698995</v>
      </c>
      <c r="O26" s="111"/>
      <c r="P26" s="53"/>
    </row>
    <row r="27" spans="1:16" ht="13.5" thickBot="1">
      <c r="A27" s="53"/>
      <c r="B27" s="118"/>
      <c r="C27" s="110"/>
      <c r="D27" s="110"/>
      <c r="E27" s="127"/>
      <c r="F27" s="110"/>
      <c r="G27" s="110"/>
      <c r="H27" s="25"/>
      <c r="I27" s="154"/>
      <c r="J27" s="25"/>
      <c r="K27" s="219"/>
      <c r="L27" s="219"/>
      <c r="M27" s="110"/>
      <c r="N27" s="110"/>
      <c r="O27" s="111"/>
      <c r="P27" s="53"/>
    </row>
    <row r="28" spans="1:16" ht="13.5" thickBot="1">
      <c r="A28" s="53"/>
      <c r="B28" s="118"/>
      <c r="C28" s="110"/>
      <c r="D28" s="110"/>
      <c r="E28" s="127"/>
      <c r="F28" s="73" t="s">
        <v>362</v>
      </c>
      <c r="G28" s="110"/>
      <c r="H28" s="25"/>
      <c r="I28" s="25"/>
      <c r="J28" s="25"/>
      <c r="K28" s="217"/>
      <c r="L28" s="217"/>
      <c r="M28" s="73" t="s">
        <v>126</v>
      </c>
      <c r="N28" s="73" t="s">
        <v>1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25">
        <f>IF(M29="-",("-"),IF(N29="-",("-"),((SUM(M26:N26)))))</f>
        <v>2136.5488524590164</v>
      </c>
      <c r="G29" s="110"/>
      <c r="H29" s="25"/>
      <c r="I29" s="25"/>
      <c r="J29" s="25"/>
      <c r="K29" s="217"/>
      <c r="L29" s="217"/>
      <c r="M29" s="126">
        <f>IF(M26="OVERLOAD",("-"),IF(N26="OVERLOAD",("-"),IF(M26="BALLAST",("-"),IF(N26="BALLAST",("-"),IF(M26/SUM(M26:N26)&lt;0,("-"),IF(M26/SUM(M26:N26)&gt;1,("-"),((M26/SUM(M26:N26)))))))))</f>
        <v>0.21567718180595935</v>
      </c>
      <c r="N29" s="126">
        <f>IF(M26="OVERLOAD",("-"),IF(N26="OVERLOAD",("-"),IF(M26="BALLAST",("-"),IF(N26="BALLAST",("-"),IF(N26/SUM(M26:N26)&lt;0,("-"),IF(N26/SUM(M26:N26)&gt;1,("-"),((N26/SUM(M26:N26)))))))))</f>
        <v>0.7843228181940407</v>
      </c>
      <c r="O29" s="111"/>
      <c r="P29" s="53"/>
    </row>
    <row r="30" spans="1:16" ht="13.5" thickBot="1">
      <c r="A30" s="53"/>
      <c r="B30" s="119"/>
      <c r="C30" s="120"/>
      <c r="D30" s="120"/>
      <c r="E30" s="128"/>
      <c r="F30" s="120"/>
      <c r="G30" s="120"/>
      <c r="H30" s="25"/>
      <c r="I30" s="25"/>
      <c r="J30" s="25"/>
      <c r="K30" s="220"/>
      <c r="L30" s="348"/>
      <c r="M30" s="349" t="str">
        <f>IF(M29&lt;0.2,("FRONT BALLAST RECOMMENDED"),IF(N29&lt;0.5,("REAR BALLAST RECOMMENDED")," "))</f>
        <v> </v>
      </c>
      <c r="N30" s="349"/>
      <c r="O30" s="131"/>
      <c r="P30" s="53"/>
    </row>
    <row r="31" spans="1:16" ht="13.5" thickBot="1">
      <c r="A31" s="53"/>
      <c r="B31" s="53"/>
      <c r="C31" s="53"/>
      <c r="D31" s="53"/>
      <c r="E31" s="108"/>
      <c r="F31" s="53"/>
      <c r="G31" s="53"/>
      <c r="M31" s="53"/>
      <c r="N31" s="53"/>
      <c r="O31" s="53"/>
      <c r="P31" s="53"/>
    </row>
    <row r="32" spans="1:16" ht="13.5" thickBot="1">
      <c r="A32" s="53"/>
      <c r="B32" s="53"/>
      <c r="C32" s="279" t="s">
        <v>259</v>
      </c>
      <c r="D32" s="53"/>
      <c r="E32" s="171"/>
      <c r="F32" s="179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4.5" customHeight="1" thickBot="1">
      <c r="A33" s="53"/>
      <c r="B33" s="53"/>
      <c r="C33" s="172"/>
      <c r="D33" s="53"/>
      <c r="E33" s="17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3.5" thickBot="1">
      <c r="A34" s="53"/>
      <c r="B34" s="53"/>
      <c r="C34" s="279" t="s">
        <v>448</v>
      </c>
      <c r="D34" s="53"/>
      <c r="E34" s="17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274</v>
      </c>
      <c r="D36" s="53"/>
      <c r="E36" s="346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2.75">
      <c r="A37" s="53"/>
      <c r="B37" s="53"/>
      <c r="C37" s="170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46.25" customHeight="1">
      <c r="A38" s="53"/>
      <c r="B38" s="53"/>
      <c r="C38" s="53"/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sheetProtection selectLockedCells="1"/>
  <mergeCells count="14">
    <mergeCell ref="C16:D16"/>
    <mergeCell ref="C21:D21"/>
    <mergeCell ref="C17:D17"/>
    <mergeCell ref="C15:D15"/>
    <mergeCell ref="C6:D6"/>
    <mergeCell ref="C8:D8"/>
    <mergeCell ref="C9:D9"/>
    <mergeCell ref="C7:D7"/>
    <mergeCell ref="C25:D25"/>
    <mergeCell ref="C24:D24"/>
    <mergeCell ref="C12:D12"/>
    <mergeCell ref="C20:D20"/>
    <mergeCell ref="C23:D23"/>
    <mergeCell ref="C14:D14"/>
  </mergeCells>
  <conditionalFormatting sqref="N26">
    <cfRule type="cellIs" priority="1" dxfId="9" operator="equal" stopIfTrue="1">
      <formula>"OVERLOAD"</formula>
    </cfRule>
  </conditionalFormatting>
  <conditionalFormatting sqref="M26">
    <cfRule type="cellIs" priority="2" dxfId="9" operator="equal" stopIfTrue="1">
      <formula>"OVERLOAD"="-"</formula>
    </cfRule>
  </conditionalFormatting>
  <dataValidations count="11">
    <dataValidation type="list" allowBlank="1" showInputMessage="1" showErrorMessage="1" sqref="E25">
      <formula1>WEIGHTREAR2305</formula1>
    </dataValidation>
    <dataValidation type="list" allowBlank="1" showInputMessage="1" showErrorMessage="1" sqref="E24">
      <formula1>WEIGHTQTY2X20</formula1>
    </dataValidation>
    <dataValidation type="list" allowBlank="1" showInputMessage="1" showErrorMessage="1" sqref="E23">
      <formula1>WEIGHTBRACKET2000</formula1>
    </dataValidation>
    <dataValidation type="list" allowBlank="1" showInputMessage="1" showErrorMessage="1" sqref="E21">
      <formula1>TIREFLUID</formula1>
    </dataValidation>
    <dataValidation type="list" allowBlank="1" showInputMessage="1" showErrorMessage="1" sqref="E12">
      <formula1>LOADER2305</formula1>
    </dataValidation>
    <dataValidation type="list" allowBlank="1" showInputMessage="1" showErrorMessage="1" sqref="E14">
      <formula1>IMATCH</formula1>
    </dataValidation>
    <dataValidation type="list" allowBlank="1" showInputMessage="1" showErrorMessage="1" sqref="E15 E17">
      <formula1>ATTACHMENTSREAR</formula1>
    </dataValidation>
    <dataValidation type="list" allowBlank="1" showInputMessage="1" showErrorMessage="1" sqref="E16">
      <formula1>ATTACHMENTSMID</formula1>
    </dataValidation>
    <dataValidation type="list" allowBlank="1" showInputMessage="1" showErrorMessage="1" sqref="E8">
      <formula1>FRONTTIRES2305</formula1>
    </dataValidation>
    <dataValidation type="list" allowBlank="1" showInputMessage="1" showErrorMessage="1" sqref="E9">
      <formula1>REARTIRES2305</formula1>
    </dataValidation>
    <dataValidation type="list" allowBlank="1" showInputMessage="1" showErrorMessage="1" sqref="E20">
      <formula1>TIREFLUIDFRONT</formula1>
    </dataValidation>
  </dataValidations>
  <hyperlinks>
    <hyperlink ref="C32" location="Attachment!A1" display="Attachment Compatibility"/>
    <hyperlink ref="C36" location="'Cut Ballast Calculator Cover'!A1" display="Back "/>
    <hyperlink ref="C34" r:id="rId1" display="Operator's Manual Search"/>
  </hyperlinks>
  <printOptions/>
  <pageMargins left="0.17" right="0.17" top="0.54" bottom="1" header="0.5" footer="0.5"/>
  <pageSetup horizontalDpi="600" verticalDpi="600" orientation="landscape" scale="85" r:id="rId4"/>
  <ignoredErrors>
    <ignoredError sqref="M16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M26" sqref="M26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284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>
        <v>2520</v>
      </c>
      <c r="F6" s="106"/>
      <c r="G6" s="107"/>
      <c r="K6" s="214">
        <f>VLOOKUP(E6,'Tractor Spec'!A2:K19,3,FALSE)</f>
        <v>1586.08</v>
      </c>
      <c r="L6" s="222">
        <f>VLOOKUP(E6,'Tractor Spec'!A2:K19,7,FALSE)</f>
        <v>30.472268738020784</v>
      </c>
      <c r="M6" s="114">
        <f>K6*(L6/L8)</f>
        <v>741.28</v>
      </c>
      <c r="N6" s="115">
        <f>K6-M6</f>
        <v>844.8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7</v>
      </c>
      <c r="M7" s="114">
        <f>K7*(L7/L6)</f>
        <v>43.64624148711762</v>
      </c>
      <c r="N7" s="115">
        <f>K7-M7</f>
        <v>146.3537585128824</v>
      </c>
      <c r="O7" s="111"/>
      <c r="P7" s="53"/>
    </row>
    <row r="8" spans="1:16" ht="13.5" thickBot="1">
      <c r="A8" s="53"/>
      <c r="B8" s="118"/>
      <c r="C8" s="413" t="s">
        <v>111</v>
      </c>
      <c r="D8" s="414"/>
      <c r="E8" s="190" t="s">
        <v>42</v>
      </c>
      <c r="F8" s="106"/>
      <c r="G8" s="107"/>
      <c r="J8" s="92">
        <f>VLOOKUP(E8,Tires!S18:V48,3,FALSE)</f>
        <v>29.92</v>
      </c>
      <c r="K8" s="215">
        <f>J8*2</f>
        <v>59.84</v>
      </c>
      <c r="L8" s="223">
        <f>VLOOKUP(E6,'Tractor Spec'!A2:K19,6,FALSE)</f>
        <v>65.2</v>
      </c>
      <c r="M8" s="114">
        <f>K8</f>
        <v>59.84</v>
      </c>
      <c r="N8" s="115">
        <v>0</v>
      </c>
      <c r="O8" s="111"/>
      <c r="P8" s="53"/>
    </row>
    <row r="9" spans="1:16" ht="13.5" thickBot="1">
      <c r="A9" s="53"/>
      <c r="B9" s="118"/>
      <c r="C9" s="413" t="s">
        <v>112</v>
      </c>
      <c r="D9" s="414"/>
      <c r="E9" s="190" t="s">
        <v>37</v>
      </c>
      <c r="F9" s="106"/>
      <c r="G9" s="107"/>
      <c r="J9" s="92">
        <f>VLOOKUP(E9,Tires!S18:V48,3,FALSE)</f>
        <v>77</v>
      </c>
      <c r="K9" s="215">
        <f>J9*2</f>
        <v>154</v>
      </c>
      <c r="L9" s="224">
        <v>0</v>
      </c>
      <c r="M9" s="114">
        <v>0</v>
      </c>
      <c r="N9" s="115">
        <f>K9</f>
        <v>154</v>
      </c>
      <c r="O9" s="111"/>
      <c r="P9" s="53"/>
    </row>
    <row r="10" spans="1:16" ht="13.5" thickBot="1">
      <c r="A10" s="53"/>
      <c r="B10" s="118"/>
      <c r="C10" s="103"/>
      <c r="D10" s="104"/>
      <c r="E10" s="105"/>
      <c r="F10" s="173" t="s">
        <v>456</v>
      </c>
      <c r="G10" s="174"/>
      <c r="H10" s="288" t="s">
        <v>134</v>
      </c>
      <c r="I10" s="289">
        <f>SUM(K6:K9)</f>
        <v>1989.9199999999998</v>
      </c>
      <c r="J10" s="288">
        <f>(SUMPRODUCT(K6:K9,L6:L9))/I10</f>
        <v>26.9171745597813</v>
      </c>
      <c r="K10" s="217"/>
      <c r="L10" s="217"/>
      <c r="M10" s="221">
        <f>SUM(M6:M9)</f>
        <v>844.7662414871177</v>
      </c>
      <c r="N10" s="176">
        <f>SUM(N6:N9)</f>
        <v>1145.1537585128824</v>
      </c>
      <c r="O10" s="111"/>
      <c r="P10" s="53"/>
    </row>
    <row r="11" spans="1:16" ht="13.5" thickBot="1">
      <c r="A11" s="53"/>
      <c r="B11" s="118"/>
      <c r="C11" s="110"/>
      <c r="D11" s="110"/>
      <c r="E11" s="105"/>
      <c r="F11" s="110"/>
      <c r="G11" s="110"/>
      <c r="H11" s="25"/>
      <c r="I11" s="25"/>
      <c r="J11" s="25"/>
      <c r="K11" s="217"/>
      <c r="L11" s="217"/>
      <c r="M11" s="130"/>
      <c r="N11" s="130"/>
      <c r="O11" s="111"/>
      <c r="P11" s="53"/>
    </row>
    <row r="12" spans="1:16" ht="13.5" thickBot="1">
      <c r="A12" s="53"/>
      <c r="B12" s="118"/>
      <c r="C12" s="413" t="s">
        <v>425</v>
      </c>
      <c r="D12" s="414"/>
      <c r="E12" s="191" t="s">
        <v>138</v>
      </c>
      <c r="F12" s="320"/>
      <c r="G12" s="109"/>
      <c r="H12" s="25"/>
      <c r="I12" s="25"/>
      <c r="J12" s="25"/>
      <c r="K12" s="217">
        <f>VLOOKUP(E12,Attachment!A146:C148,2,FALSE)</f>
        <v>0</v>
      </c>
      <c r="L12" s="217">
        <f>VLOOKUP(E12,Attachment!A146:C148,3,FALSE)</f>
        <v>0</v>
      </c>
      <c r="M12" s="115">
        <f>K12*(L12/L8)</f>
        <v>0</v>
      </c>
      <c r="N12" s="115">
        <f>K12-M12</f>
        <v>0</v>
      </c>
      <c r="O12" s="111"/>
      <c r="P12" s="53"/>
    </row>
    <row r="13" spans="1:16" s="342" customFormat="1" ht="15.75" thickBot="1">
      <c r="A13" s="335"/>
      <c r="B13" s="336"/>
      <c r="C13" s="337"/>
      <c r="D13" s="337"/>
      <c r="E13" s="347" t="str">
        <f>IF(E12="No Loader"," ","**Refer to Loader Operator's Manual for Proper Ballast Recommendation")</f>
        <v> </v>
      </c>
      <c r="F13" s="337"/>
      <c r="G13" s="337"/>
      <c r="H13" s="338"/>
      <c r="I13" s="338"/>
      <c r="J13" s="338">
        <f>VLOOKUP(E14,Attachment!A3:D4,4,FALSE)</f>
        <v>-4.059055118110236</v>
      </c>
      <c r="K13" s="339"/>
      <c r="L13" s="339"/>
      <c r="M13" s="340"/>
      <c r="N13" s="340"/>
      <c r="O13" s="341"/>
      <c r="P13" s="335"/>
    </row>
    <row r="14" spans="1:16" ht="13.5" thickBot="1">
      <c r="A14" s="53"/>
      <c r="B14" s="118"/>
      <c r="C14" s="413" t="s">
        <v>139</v>
      </c>
      <c r="D14" s="414"/>
      <c r="E14" s="191" t="s">
        <v>224</v>
      </c>
      <c r="F14" s="106"/>
      <c r="G14" s="109"/>
      <c r="H14" s="25"/>
      <c r="I14" s="156">
        <f>VLOOKUP(E6,'Tractor Spec'!A1:J30,10,FALSE)</f>
        <v>-27.5</v>
      </c>
      <c r="J14" s="25">
        <f>VLOOKUP(2X20!E14,Attachment!A3:D4,2,FALSE)</f>
        <v>-1.575</v>
      </c>
      <c r="K14" s="217">
        <f>VLOOKUP(2X20!E14,Attachment!A3:D4,3,FALSE)</f>
        <v>65</v>
      </c>
      <c r="L14" s="216">
        <f>J14+I14</f>
        <v>-29.075</v>
      </c>
      <c r="M14" s="115">
        <f>K14*(L14/L8)</f>
        <v>-28.985812883435578</v>
      </c>
      <c r="N14" s="115">
        <f>K14-M14</f>
        <v>93.98581288343559</v>
      </c>
      <c r="O14" s="111"/>
      <c r="P14" s="53"/>
    </row>
    <row r="15" spans="1:16" ht="13.5" thickBot="1">
      <c r="A15" s="53"/>
      <c r="B15" s="118"/>
      <c r="C15" s="413" t="s">
        <v>278</v>
      </c>
      <c r="D15" s="414"/>
      <c r="E15" s="191" t="s">
        <v>460</v>
      </c>
      <c r="F15" s="320"/>
      <c r="G15" s="109"/>
      <c r="H15" s="25"/>
      <c r="I15" s="25"/>
      <c r="J15" s="25">
        <f>VLOOKUP(E15,Attachment!A11:C119,3,FALSE)</f>
        <v>-24</v>
      </c>
      <c r="K15" s="217">
        <f>VLOOKUP(E15,Attachment!A12:C119,2,FALSE)</f>
        <v>491.8032786885246</v>
      </c>
      <c r="L15" s="216">
        <f>I14+J15+J13</f>
        <v>-55.55905511811024</v>
      </c>
      <c r="M15" s="115">
        <f>K15*(L15/L8)</f>
        <v>-419.08167895587525</v>
      </c>
      <c r="N15" s="115">
        <f>K15-M15</f>
        <v>910.8849576443998</v>
      </c>
      <c r="O15" s="111"/>
      <c r="P15" s="53"/>
    </row>
    <row r="16" spans="1:16" ht="13.5" hidden="1" thickBot="1">
      <c r="A16" s="53"/>
      <c r="B16" s="118"/>
      <c r="C16" s="413" t="s">
        <v>279</v>
      </c>
      <c r="D16" s="414"/>
      <c r="E16" s="191" t="s">
        <v>234</v>
      </c>
      <c r="F16" s="122"/>
      <c r="G16" s="123"/>
      <c r="H16" s="25"/>
      <c r="I16" s="25"/>
      <c r="J16" s="25"/>
      <c r="K16" s="217">
        <f>VLOOKUP(E16,Attachment!A133:C142,2,FALSE)</f>
        <v>0</v>
      </c>
      <c r="L16" s="216">
        <f>VLOOKUP(E16,Attachment!A133:C142,3,FALSE)</f>
        <v>0</v>
      </c>
      <c r="M16" s="115">
        <f>K16*(L16/L8)</f>
        <v>0</v>
      </c>
      <c r="N16" s="115">
        <f>K16-M16</f>
        <v>0</v>
      </c>
      <c r="O16" s="111"/>
      <c r="P16" s="53"/>
    </row>
    <row r="17" spans="1:16" ht="13.5" hidden="1" thickBot="1">
      <c r="A17" s="53"/>
      <c r="B17" s="118"/>
      <c r="C17" s="413" t="s">
        <v>280</v>
      </c>
      <c r="D17" s="414"/>
      <c r="E17" s="191" t="s">
        <v>234</v>
      </c>
      <c r="F17" s="122" t="s">
        <v>70</v>
      </c>
      <c r="G17" s="123"/>
      <c r="H17" s="25"/>
      <c r="I17" s="25"/>
      <c r="J17" s="25"/>
      <c r="K17" s="217">
        <f>VLOOKUP(E17,Attachment!A83:C121,2,FALSE)</f>
        <v>0</v>
      </c>
      <c r="L17" s="216">
        <f>VLOOKUP(E17,Attachment!A133:C142,3,FALSE)</f>
        <v>0</v>
      </c>
      <c r="M17" s="115">
        <f>K17*(L17/L20)</f>
        <v>0</v>
      </c>
      <c r="N17" s="115">
        <f>K17-M17</f>
        <v>0</v>
      </c>
      <c r="O17" s="111"/>
      <c r="P17" s="53"/>
    </row>
    <row r="18" spans="1:16" ht="13.5" thickBot="1">
      <c r="A18" s="53"/>
      <c r="B18" s="118"/>
      <c r="C18" s="110"/>
      <c r="D18" s="110"/>
      <c r="E18" s="127"/>
      <c r="F18" s="173" t="s">
        <v>421</v>
      </c>
      <c r="G18" s="290"/>
      <c r="H18" s="153"/>
      <c r="I18" s="153"/>
      <c r="J18" s="153"/>
      <c r="K18" s="218"/>
      <c r="L18" s="218"/>
      <c r="M18" s="176">
        <f>SUM(M6:M9,M12:M17)</f>
        <v>396.6987496478069</v>
      </c>
      <c r="N18" s="176">
        <f>SUM(N6:N9,N12:N17)</f>
        <v>2150.024529040718</v>
      </c>
      <c r="O18" s="111"/>
      <c r="P18" s="53"/>
    </row>
    <row r="19" spans="1:16" s="342" customFormat="1" ht="16.5" thickBot="1">
      <c r="A19" s="335"/>
      <c r="B19" s="336"/>
      <c r="C19" s="337"/>
      <c r="D19" s="337"/>
      <c r="E19" s="347" t="str">
        <f>IF(E15="No Attachment","","**Refer to Attachment Compatibility")</f>
        <v>**Refer to Attachment Compatibility</v>
      </c>
      <c r="F19" s="337"/>
      <c r="G19" s="337"/>
      <c r="H19" s="343"/>
      <c r="I19" s="343"/>
      <c r="J19" s="343"/>
      <c r="K19" s="344"/>
      <c r="L19" s="345"/>
      <c r="M19" s="337"/>
      <c r="N19" s="337"/>
      <c r="O19" s="341"/>
      <c r="P19" s="335"/>
    </row>
    <row r="20" spans="1:16" ht="13.5" thickBot="1">
      <c r="A20" s="53"/>
      <c r="B20" s="118"/>
      <c r="C20" s="413" t="s">
        <v>113</v>
      </c>
      <c r="D20" s="414"/>
      <c r="E20" s="190" t="s">
        <v>116</v>
      </c>
      <c r="F20" s="106"/>
      <c r="G20" s="107"/>
      <c r="I20">
        <f>VLOOKUP(E20,Tires!S2:T5,2,FALSE)</f>
        <v>0</v>
      </c>
      <c r="J20">
        <f>VLOOKUP(E8,Tires!S18:W48,5,FALSE)</f>
        <v>3.73345</v>
      </c>
      <c r="K20" s="215">
        <f>IF(J20="NA",0,J20*I20)</f>
        <v>0</v>
      </c>
      <c r="L20" s="223">
        <f>L8</f>
        <v>65.2</v>
      </c>
      <c r="M20" s="114">
        <f>K20</f>
        <v>0</v>
      </c>
      <c r="N20" s="115">
        <v>0</v>
      </c>
      <c r="O20" s="111"/>
      <c r="P20" s="53"/>
    </row>
    <row r="21" spans="1:16" ht="13.5" thickBot="1">
      <c r="A21" s="53"/>
      <c r="B21" s="118"/>
      <c r="C21" s="413" t="s">
        <v>114</v>
      </c>
      <c r="D21" s="414"/>
      <c r="E21" s="190" t="s">
        <v>116</v>
      </c>
      <c r="F21" s="294">
        <f>IF(J21="NA","LIQUID BALLAST NOT RECOMMENDED","")</f>
      </c>
      <c r="G21" s="107"/>
      <c r="I21">
        <f>VLOOKUP(E21,Tires!S2:T5,2,FALSE)</f>
        <v>0</v>
      </c>
      <c r="J21">
        <f>VLOOKUP(E9,Tires!S18:W48,5,FALSE)</f>
        <v>22.4007</v>
      </c>
      <c r="K21" s="215">
        <f>IF(J21="NA",0,J21*I21)</f>
        <v>0</v>
      </c>
      <c r="L21" s="224">
        <v>0</v>
      </c>
      <c r="M21" s="114">
        <v>0</v>
      </c>
      <c r="N21" s="115">
        <f>K21</f>
        <v>0</v>
      </c>
      <c r="O21" s="111"/>
      <c r="P21" s="53"/>
    </row>
    <row r="22" spans="1:16" ht="13.5" thickBot="1">
      <c r="A22" s="53"/>
      <c r="B22" s="118"/>
      <c r="C22" s="110"/>
      <c r="D22" s="110"/>
      <c r="E22" s="105"/>
      <c r="F22" s="110"/>
      <c r="G22" s="110"/>
      <c r="H22" s="25"/>
      <c r="I22" s="25"/>
      <c r="J22" s="25"/>
      <c r="K22" s="217"/>
      <c r="L22" s="217"/>
      <c r="M22" s="130"/>
      <c r="N22" s="130"/>
      <c r="O22" s="111"/>
      <c r="P22" s="53"/>
    </row>
    <row r="23" spans="1:16" ht="13.5" thickBot="1">
      <c r="A23" s="53"/>
      <c r="B23" s="118"/>
      <c r="C23" s="413" t="s">
        <v>115</v>
      </c>
      <c r="D23" s="414"/>
      <c r="E23" s="190" t="s">
        <v>238</v>
      </c>
      <c r="F23" s="112"/>
      <c r="G23" s="113"/>
      <c r="H23" s="25">
        <f>VLOOKUP(E23,Weights!A5:D6,4,FALSE)</f>
        <v>4</v>
      </c>
      <c r="I23" s="158">
        <f>VLOOKUP(E6,'Tractor Spec'!A2:K19,11,FALSE)</f>
        <v>81</v>
      </c>
      <c r="J23" s="25">
        <f>VLOOKUP(E23,Weights!A5:D6,2,FALSE)</f>
        <v>2</v>
      </c>
      <c r="K23" s="217">
        <f>VLOOKUP(E23,Weights!A5:D6,3,FALSE)</f>
        <v>22.031383480958592</v>
      </c>
      <c r="L23" s="217">
        <f>J23+I23</f>
        <v>83</v>
      </c>
      <c r="M23" s="115">
        <f>K23*(L23/L8)</f>
        <v>28.046086333122133</v>
      </c>
      <c r="N23" s="121">
        <f>K23-M23</f>
        <v>-6.014702852163541</v>
      </c>
      <c r="O23" s="111"/>
      <c r="P23" s="53"/>
    </row>
    <row r="24" spans="1:16" ht="13.5" thickBot="1">
      <c r="A24" s="53"/>
      <c r="B24" s="118"/>
      <c r="C24" s="413" t="s">
        <v>296</v>
      </c>
      <c r="D24" s="414"/>
      <c r="E24" s="190">
        <v>5</v>
      </c>
      <c r="F24" s="106"/>
      <c r="G24" s="109"/>
      <c r="H24" s="25">
        <v>3</v>
      </c>
      <c r="I24" s="25"/>
      <c r="J24" s="25"/>
      <c r="K24" s="217">
        <f>VLOOKUP(E24,Weights!B8:C25,2,FALSE)</f>
        <v>210</v>
      </c>
      <c r="L24" s="217">
        <f>I23+H23+H24</f>
        <v>88</v>
      </c>
      <c r="M24" s="115">
        <f>K24*(L24/L8)</f>
        <v>283.4355828220859</v>
      </c>
      <c r="N24" s="115">
        <f>K24-M24</f>
        <v>-73.4355828220859</v>
      </c>
      <c r="O24" s="111"/>
      <c r="P24" s="53"/>
    </row>
    <row r="25" spans="1:16" ht="13.5" thickBot="1">
      <c r="A25" s="53"/>
      <c r="B25" s="118"/>
      <c r="C25" s="413" t="s">
        <v>249</v>
      </c>
      <c r="D25" s="414"/>
      <c r="E25" s="190" t="s">
        <v>242</v>
      </c>
      <c r="F25" s="106"/>
      <c r="G25" s="109"/>
      <c r="H25" s="25"/>
      <c r="I25" s="25"/>
      <c r="J25" s="25"/>
      <c r="K25" s="217">
        <f>VLOOKUP(E25,Weights!A30:C35,3,FALSE)</f>
        <v>0</v>
      </c>
      <c r="L25" s="217">
        <v>0</v>
      </c>
      <c r="M25" s="115">
        <v>0</v>
      </c>
      <c r="N25" s="114">
        <f>K25</f>
        <v>0</v>
      </c>
      <c r="O25" s="111"/>
      <c r="P25" s="53"/>
    </row>
    <row r="26" spans="1:16" ht="13.5" thickBot="1">
      <c r="A26" s="53"/>
      <c r="B26" s="118"/>
      <c r="C26" s="110"/>
      <c r="D26" s="110"/>
      <c r="E26" s="105"/>
      <c r="F26" s="173" t="s">
        <v>361</v>
      </c>
      <c r="G26" s="174"/>
      <c r="H26" s="25"/>
      <c r="I26" s="25"/>
      <c r="J26" s="25"/>
      <c r="K26" s="217"/>
      <c r="L26" s="217"/>
      <c r="M26" s="125">
        <f>IF(SUM(M23:M25,M12:M17)&gt;1936,("OVERLOAD"),IF(SUM(M6:M9,M19:M25,M12:M17)&lt;0,("BALLAST"),((SUM(M6:M9,M19:M25,M12:M17)))))</f>
        <v>708.1804188030148</v>
      </c>
      <c r="N26" s="125">
        <f>IF(SUM(N7,N23:N24,N12:N17)&gt;2426,("OVERLOAD"),IF(SUM(N6:N9,N19:N25,N12:N17)&lt;0,("BALLAST"),IF(M26="BALLAST",("-"),SUM(N6:N9,N19:N25,N12:N17))))</f>
        <v>2070.574243366468</v>
      </c>
      <c r="O26" s="111"/>
      <c r="P26" s="53"/>
    </row>
    <row r="27" spans="1:16" ht="13.5" thickBot="1">
      <c r="A27" s="53"/>
      <c r="B27" s="118"/>
      <c r="C27" s="110"/>
      <c r="D27" s="110"/>
      <c r="E27" s="127"/>
      <c r="F27" s="110"/>
      <c r="G27" s="110"/>
      <c r="H27" s="25"/>
      <c r="I27" s="154"/>
      <c r="J27" s="25"/>
      <c r="K27" s="219"/>
      <c r="L27" s="219"/>
      <c r="M27" s="110"/>
      <c r="N27" s="110"/>
      <c r="O27" s="111"/>
      <c r="P27" s="53"/>
    </row>
    <row r="28" spans="1:16" ht="13.5" thickBot="1">
      <c r="A28" s="53"/>
      <c r="B28" s="118"/>
      <c r="C28" s="110"/>
      <c r="D28" s="110"/>
      <c r="E28" s="127"/>
      <c r="F28" s="73" t="s">
        <v>362</v>
      </c>
      <c r="G28" s="110"/>
      <c r="H28" s="25"/>
      <c r="I28" s="25"/>
      <c r="J28" s="25"/>
      <c r="K28" s="217"/>
      <c r="L28" s="217"/>
      <c r="M28" s="73" t="s">
        <v>126</v>
      </c>
      <c r="N28" s="73" t="s">
        <v>1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25">
        <f>IF(M29="-",("-"),IF(N29="-",("-"),((SUM(M26:N26)))))</f>
        <v>2778.754662169483</v>
      </c>
      <c r="G29" s="110"/>
      <c r="H29" s="25"/>
      <c r="I29" s="25"/>
      <c r="J29" s="25"/>
      <c r="K29" s="217"/>
      <c r="L29" s="217"/>
      <c r="M29" s="126">
        <f>IF(M26="OVERLOAD",("-"),IF(N26="OVERLOAD",("-"),IF(M26="BALLAST",("-"),IF(N26="BALLAST",("-"),IF(M26/SUM(M26:N26)&lt;0,("-"),IF(M26/SUM(M26:N26)&gt;1,("-"),((M26/SUM(M26:N26)))))))))</f>
        <v>0.25485532366146735</v>
      </c>
      <c r="N29" s="126">
        <f>IF(M26="OVERLOAD",("-"),IF(N26="OVERLOAD",("-"),IF(M26="-",("-"),IF(N26="-",("-"),IF(N26/SUM(M26:N26)&lt;0,("-"),IF(N26/SUM(M26:N26)&gt;1,("-"),((N26/SUM(M26:N26)))))))))</f>
        <v>0.7451446763385328</v>
      </c>
      <c r="O29" s="111"/>
      <c r="P29" s="53"/>
    </row>
    <row r="30" spans="1:16" ht="13.5" thickBot="1">
      <c r="A30" s="53"/>
      <c r="B30" s="119"/>
      <c r="C30" s="120"/>
      <c r="D30" s="120"/>
      <c r="E30" s="128"/>
      <c r="F30" s="120"/>
      <c r="G30" s="120"/>
      <c r="H30" s="25"/>
      <c r="I30" s="25"/>
      <c r="J30" s="25"/>
      <c r="K30" s="220"/>
      <c r="L30" s="220"/>
      <c r="M30" s="350" t="str">
        <f>IF(M29&lt;0.2,("FRONT BALLAST RECOMMENDED"),IF(N29&lt;0.5,("REAR BALLAST RECOMMENDED")," "))</f>
        <v> </v>
      </c>
      <c r="N30" s="120"/>
      <c r="O30" s="131"/>
      <c r="P30" s="53"/>
    </row>
    <row r="31" spans="1:16" ht="13.5" thickBot="1">
      <c r="A31" s="53"/>
      <c r="B31" s="53"/>
      <c r="C31" s="53"/>
      <c r="D31" s="53"/>
      <c r="E31" s="108"/>
      <c r="F31" s="53"/>
      <c r="G31" s="53"/>
      <c r="M31" s="53"/>
      <c r="N31" s="53"/>
      <c r="O31" s="53"/>
      <c r="P31" s="53"/>
    </row>
    <row r="32" spans="1:16" ht="13.5" thickBot="1">
      <c r="A32" s="53"/>
      <c r="B32" s="53"/>
      <c r="C32" s="279" t="s">
        <v>259</v>
      </c>
      <c r="D32" s="53"/>
      <c r="E32" s="171"/>
      <c r="F32" s="179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4.5" customHeight="1" thickBot="1">
      <c r="A33" s="53"/>
      <c r="B33" s="53"/>
      <c r="C33" s="172"/>
      <c r="D33" s="53"/>
      <c r="E33" s="17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3.5" thickBot="1">
      <c r="A34" s="53"/>
      <c r="B34" s="53"/>
      <c r="C34" s="279" t="s">
        <v>448</v>
      </c>
      <c r="D34" s="53"/>
      <c r="E34" s="17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274</v>
      </c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2.75">
      <c r="A37" s="53"/>
      <c r="B37" s="53"/>
      <c r="C37" s="170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46.25" customHeight="1">
      <c r="A38" s="53"/>
      <c r="B38" s="53"/>
      <c r="C38" s="53"/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sheetProtection selectLockedCells="1"/>
  <mergeCells count="14">
    <mergeCell ref="C25:D25"/>
    <mergeCell ref="C24:D24"/>
    <mergeCell ref="C12:D12"/>
    <mergeCell ref="C17:D17"/>
    <mergeCell ref="C15:D15"/>
    <mergeCell ref="C23:D23"/>
    <mergeCell ref="C14:D14"/>
    <mergeCell ref="C16:D16"/>
    <mergeCell ref="C6:D6"/>
    <mergeCell ref="C8:D8"/>
    <mergeCell ref="C9:D9"/>
    <mergeCell ref="C20:D20"/>
    <mergeCell ref="C7:D7"/>
    <mergeCell ref="C21:D21"/>
  </mergeCells>
  <conditionalFormatting sqref="M26:N26">
    <cfRule type="cellIs" priority="1" dxfId="9" operator="equal" stopIfTrue="1">
      <formula>"OVERLOAD"</formula>
    </cfRule>
  </conditionalFormatting>
  <dataValidations count="12">
    <dataValidation type="list" allowBlank="1" showInputMessage="1" showErrorMessage="1" sqref="E12">
      <formula1>LOADER2305</formula1>
    </dataValidation>
    <dataValidation type="list" allowBlank="1" showInputMessage="1" showErrorMessage="1" sqref="E14">
      <formula1>IMATCH</formula1>
    </dataValidation>
    <dataValidation type="list" allowBlank="1" showInputMessage="1" showErrorMessage="1" sqref="E15 E17">
      <formula1>ATTACHMENTSREAR</formula1>
    </dataValidation>
    <dataValidation type="list" allowBlank="1" showInputMessage="1" showErrorMessage="1" sqref="E16">
      <formula1>ATTACHMENTSMID</formula1>
    </dataValidation>
    <dataValidation type="list" allowBlank="1" showInputMessage="1" showErrorMessage="1" sqref="E25">
      <formula1>WEIGHTREAR2X20</formula1>
    </dataValidation>
    <dataValidation type="list" allowBlank="1" showInputMessage="1" showErrorMessage="1" sqref="E24">
      <formula1>WEIGHTQTY2X20</formula1>
    </dataValidation>
    <dataValidation type="list" allowBlank="1" showInputMessage="1" showErrorMessage="1" sqref="E23">
      <formula1>WEIGHTBRACKET2000</formula1>
    </dataValidation>
    <dataValidation type="list" allowBlank="1" showInputMessage="1" showErrorMessage="1" sqref="E21">
      <formula1>TIREFLUID</formula1>
    </dataValidation>
    <dataValidation type="list" allowBlank="1" showInputMessage="1" showErrorMessage="1" sqref="E8">
      <formula1>FRONTTIRES2X20</formula1>
    </dataValidation>
    <dataValidation type="list" allowBlank="1" showInputMessage="1" showErrorMessage="1" sqref="E9">
      <formula1>REARTIRES2X20</formula1>
    </dataValidation>
    <dataValidation type="list" allowBlank="1" showInputMessage="1" showErrorMessage="1" sqref="E6">
      <formula1>X20_2000</formula1>
    </dataValidation>
    <dataValidation type="list" allowBlank="1" showInputMessage="1" showErrorMessage="1" sqref="E20">
      <formula1>TIREFLUIDFRONT</formula1>
    </dataValidation>
  </dataValidations>
  <hyperlinks>
    <hyperlink ref="C36" location="'Cut Ballast Calculator Cover'!A1" display="Back "/>
    <hyperlink ref="C32" location="Attachment!A1" display="Attachment Compatibility"/>
    <hyperlink ref="C34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M26" sqref="M26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304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 t="s">
        <v>129</v>
      </c>
      <c r="F6" s="106"/>
      <c r="G6" s="107"/>
      <c r="K6" s="214">
        <f>VLOOKUP(E6,'Tractor Spec'!A2:K19,3,FALSE)</f>
        <v>1741.56</v>
      </c>
      <c r="L6" s="222">
        <f>VLOOKUP(E6,'Tractor Spec'!A2:K19,7,FALSE)</f>
        <v>24.30066836629229</v>
      </c>
      <c r="M6" s="114">
        <f>K6*(L6/L8)</f>
        <v>700.68</v>
      </c>
      <c r="N6" s="115">
        <f>K6-M6</f>
        <v>1040.88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4</v>
      </c>
      <c r="M7" s="114">
        <f>K7*(L7/L6)</f>
        <v>31.27485995628844</v>
      </c>
      <c r="N7" s="115">
        <f>K7-M7</f>
        <v>158.72514004371155</v>
      </c>
      <c r="O7" s="111"/>
      <c r="P7" s="53"/>
    </row>
    <row r="8" spans="1:16" ht="13.5" thickBot="1">
      <c r="A8" s="53"/>
      <c r="B8" s="118"/>
      <c r="C8" s="413" t="s">
        <v>111</v>
      </c>
      <c r="D8" s="414"/>
      <c r="E8" s="190" t="s">
        <v>61</v>
      </c>
      <c r="F8" s="106"/>
      <c r="G8" s="107"/>
      <c r="J8" s="92">
        <f>VLOOKUP(E8,Tires!S18:V74,3,FALSE)</f>
        <v>48.400000000000006</v>
      </c>
      <c r="K8" s="215">
        <f>J8*2</f>
        <v>96.80000000000001</v>
      </c>
      <c r="L8" s="223">
        <f>VLOOKUP(E6,'Tractor Spec'!A2:K19,6,FALSE)</f>
        <v>60.4</v>
      </c>
      <c r="M8" s="114">
        <f>K8</f>
        <v>96.80000000000001</v>
      </c>
      <c r="N8" s="115">
        <v>0</v>
      </c>
      <c r="O8" s="111"/>
      <c r="P8" s="53"/>
    </row>
    <row r="9" spans="1:16" ht="13.5" thickBot="1">
      <c r="A9" s="53"/>
      <c r="B9" s="118"/>
      <c r="C9" s="413" t="s">
        <v>112</v>
      </c>
      <c r="D9" s="414"/>
      <c r="E9" s="190" t="s">
        <v>55</v>
      </c>
      <c r="F9" s="106"/>
      <c r="G9" s="107"/>
      <c r="J9" s="92">
        <f>VLOOKUP(E9,Tires!S18:V74,3,FALSE)</f>
        <v>184.8</v>
      </c>
      <c r="K9" s="215">
        <f>J9*2</f>
        <v>369.6</v>
      </c>
      <c r="L9" s="224">
        <v>0</v>
      </c>
      <c r="M9" s="114">
        <v>0</v>
      </c>
      <c r="N9" s="115">
        <f>K9</f>
        <v>369.6</v>
      </c>
      <c r="O9" s="111"/>
      <c r="P9" s="53"/>
    </row>
    <row r="10" spans="1:16" ht="13.5" thickBot="1">
      <c r="A10" s="53"/>
      <c r="B10" s="118"/>
      <c r="C10" s="103"/>
      <c r="D10" s="104"/>
      <c r="E10" s="105"/>
      <c r="F10" s="173" t="s">
        <v>456</v>
      </c>
      <c r="G10" s="174"/>
      <c r="H10" s="288" t="s">
        <v>134</v>
      </c>
      <c r="I10" s="289">
        <f>SUM(K6:K9)</f>
        <v>2397.96</v>
      </c>
      <c r="J10" s="288">
        <f>(SUMPRODUCT(K6:K9,L6:L9))/I10</f>
        <v>20.40392333483461</v>
      </c>
      <c r="K10" s="217"/>
      <c r="L10" s="217"/>
      <c r="M10" s="221">
        <f>SUM(M6:M9)</f>
        <v>828.7548599562883</v>
      </c>
      <c r="N10" s="176">
        <f>SUM(N6:N9)</f>
        <v>1569.2051400437117</v>
      </c>
      <c r="O10" s="111"/>
      <c r="P10" s="53"/>
    </row>
    <row r="11" spans="1:16" ht="13.5" thickBot="1">
      <c r="A11" s="53"/>
      <c r="B11" s="118"/>
      <c r="C11" s="110"/>
      <c r="D11" s="110"/>
      <c r="E11" s="105"/>
      <c r="F11" s="110"/>
      <c r="G11" s="110"/>
      <c r="H11" s="25"/>
      <c r="I11" s="25"/>
      <c r="J11" s="25"/>
      <c r="K11" s="217"/>
      <c r="L11" s="217"/>
      <c r="M11" s="130"/>
      <c r="N11" s="130"/>
      <c r="O11" s="111"/>
      <c r="P11" s="53"/>
    </row>
    <row r="12" spans="1:16" ht="13.5" thickBot="1">
      <c r="A12" s="53"/>
      <c r="B12" s="118"/>
      <c r="C12" s="413" t="s">
        <v>425</v>
      </c>
      <c r="D12" s="414"/>
      <c r="E12" s="191" t="s">
        <v>138</v>
      </c>
      <c r="F12" s="320"/>
      <c r="G12" s="109"/>
      <c r="H12" s="25"/>
      <c r="I12" s="25"/>
      <c r="J12" s="25"/>
      <c r="K12" s="217">
        <f>VLOOKUP(E12,Attachment!A146:C163,2,FALSE)</f>
        <v>0</v>
      </c>
      <c r="L12" s="217">
        <f>VLOOKUP(E12,Attachment!A146:C173,3,FALSE)</f>
        <v>0</v>
      </c>
      <c r="M12" s="115">
        <f>K12*(L12/L8)</f>
        <v>0</v>
      </c>
      <c r="N12" s="115">
        <f>K12-M12</f>
        <v>0</v>
      </c>
      <c r="O12" s="111"/>
      <c r="P12" s="53"/>
    </row>
    <row r="13" spans="1:16" s="342" customFormat="1" ht="15.75" thickBot="1">
      <c r="A13" s="335"/>
      <c r="B13" s="336"/>
      <c r="C13" s="337"/>
      <c r="D13" s="337"/>
      <c r="E13" s="347" t="str">
        <f>IF(E12="No Loader"," ","**Refer to Loader Operator's Manual for Proper Ballast Recommendation")</f>
        <v> </v>
      </c>
      <c r="F13" s="337"/>
      <c r="G13" s="337"/>
      <c r="H13" s="338"/>
      <c r="I13" s="338"/>
      <c r="J13" s="338">
        <f>VLOOKUP(E14,Attachment!A3:D4,4,FALSE)</f>
        <v>-4.059055118110236</v>
      </c>
      <c r="K13" s="339"/>
      <c r="L13" s="339"/>
      <c r="M13" s="340"/>
      <c r="N13" s="340"/>
      <c r="O13" s="341"/>
      <c r="P13" s="335"/>
    </row>
    <row r="14" spans="1:16" ht="13.5" thickBot="1">
      <c r="A14" s="53"/>
      <c r="B14" s="118"/>
      <c r="C14" s="413" t="s">
        <v>139</v>
      </c>
      <c r="D14" s="414"/>
      <c r="E14" s="191" t="s">
        <v>224</v>
      </c>
      <c r="F14" s="106"/>
      <c r="G14" s="109"/>
      <c r="H14" s="25"/>
      <c r="I14" s="156">
        <f>VLOOKUP(E6,'Tractor Spec'!A1:J30,10,FALSE)</f>
        <v>-33</v>
      </c>
      <c r="J14" s="25">
        <f>VLOOKUP('3005'!E14,Attachment!A3:D4,2,FALSE)</f>
        <v>-1.575</v>
      </c>
      <c r="K14" s="217">
        <f>VLOOKUP('3005'!E14,Attachment!A3:D4,3,FALSE)</f>
        <v>65</v>
      </c>
      <c r="L14" s="216">
        <f>J14+I14</f>
        <v>-34.575</v>
      </c>
      <c r="M14" s="115">
        <f>K14*(L14/L8)</f>
        <v>-37.208195364238414</v>
      </c>
      <c r="N14" s="115">
        <f>K14-M14</f>
        <v>102.2081953642384</v>
      </c>
      <c r="O14" s="111"/>
      <c r="P14" s="53"/>
    </row>
    <row r="15" spans="1:16" ht="13.5" thickBot="1">
      <c r="A15" s="53"/>
      <c r="B15" s="118"/>
      <c r="C15" s="413" t="s">
        <v>278</v>
      </c>
      <c r="D15" s="414"/>
      <c r="E15" s="191" t="s">
        <v>478</v>
      </c>
      <c r="F15" s="320"/>
      <c r="G15" s="109"/>
      <c r="H15" s="25"/>
      <c r="I15" s="25"/>
      <c r="J15" s="25">
        <f>VLOOKUP(E15,Attachment!A11:C119,3,FALSE)</f>
        <v>-15.702</v>
      </c>
      <c r="K15" s="217">
        <f>VLOOKUP(E15,Attachment!A12:C119,2,FALSE)</f>
        <v>360</v>
      </c>
      <c r="L15" s="216">
        <f>I14+J15+J13</f>
        <v>-52.761055118110235</v>
      </c>
      <c r="M15" s="115">
        <f>K15*(L15/L8)</f>
        <v>-314.4698649423789</v>
      </c>
      <c r="N15" s="115">
        <f>K15-M15</f>
        <v>674.4698649423789</v>
      </c>
      <c r="O15" s="111"/>
      <c r="P15" s="53"/>
    </row>
    <row r="16" spans="1:16" ht="13.5" hidden="1" thickBot="1">
      <c r="A16" s="53"/>
      <c r="B16" s="118"/>
      <c r="C16" s="413" t="s">
        <v>279</v>
      </c>
      <c r="D16" s="414"/>
      <c r="E16" s="191" t="s">
        <v>234</v>
      </c>
      <c r="F16" s="122"/>
      <c r="G16" s="123"/>
      <c r="H16" s="25"/>
      <c r="I16" s="25"/>
      <c r="J16" s="25"/>
      <c r="K16" s="217">
        <f>VLOOKUP(E16,Attachment!A133:C142,2,FALSE)</f>
        <v>0</v>
      </c>
      <c r="L16" s="216">
        <f>VLOOKUP(E16,Attachment!A133:C142,3,FALSE)</f>
        <v>0</v>
      </c>
      <c r="M16" s="115">
        <f>K16*(L16/L8)</f>
        <v>0</v>
      </c>
      <c r="N16" s="115">
        <f>K16-M16</f>
        <v>0</v>
      </c>
      <c r="O16" s="111"/>
      <c r="P16" s="53"/>
    </row>
    <row r="17" spans="1:16" ht="13.5" hidden="1" thickBot="1">
      <c r="A17" s="53"/>
      <c r="B17" s="118"/>
      <c r="C17" s="413" t="s">
        <v>280</v>
      </c>
      <c r="D17" s="414"/>
      <c r="E17" s="191" t="s">
        <v>234</v>
      </c>
      <c r="F17" s="122" t="s">
        <v>70</v>
      </c>
      <c r="G17" s="123"/>
      <c r="H17" s="25"/>
      <c r="I17" s="25"/>
      <c r="J17" s="25"/>
      <c r="K17" s="217">
        <f>VLOOKUP(E17,Attachment!A83:C121,2,FALSE)</f>
        <v>0</v>
      </c>
      <c r="L17" s="216">
        <f>VLOOKUP(E17,Attachment!A133:C142,3,FALSE)</f>
        <v>0</v>
      </c>
      <c r="M17" s="115">
        <f>K17*(L17/L20)</f>
        <v>0</v>
      </c>
      <c r="N17" s="115">
        <f>K17-M17</f>
        <v>0</v>
      </c>
      <c r="O17" s="111"/>
      <c r="P17" s="53"/>
    </row>
    <row r="18" spans="1:16" ht="13.5" thickBot="1">
      <c r="A18" s="53"/>
      <c r="B18" s="118"/>
      <c r="C18" s="110"/>
      <c r="D18" s="110"/>
      <c r="E18" s="127"/>
      <c r="F18" s="173" t="s">
        <v>421</v>
      </c>
      <c r="G18" s="290"/>
      <c r="H18" s="153"/>
      <c r="I18" s="153"/>
      <c r="J18" s="153"/>
      <c r="K18" s="218"/>
      <c r="L18" s="218"/>
      <c r="M18" s="176">
        <f>SUM(M6:M9,M12:M17)</f>
        <v>477.076799649671</v>
      </c>
      <c r="N18" s="221">
        <f>SUM(N6:N9,N11:N17)</f>
        <v>2345.883200350329</v>
      </c>
      <c r="O18" s="111"/>
      <c r="P18" s="53"/>
    </row>
    <row r="19" spans="1:16" s="342" customFormat="1" ht="16.5" thickBot="1">
      <c r="A19" s="335"/>
      <c r="B19" s="336"/>
      <c r="C19" s="337"/>
      <c r="D19" s="337"/>
      <c r="E19" s="347" t="str">
        <f>IF(E15="No Attachment","","**Refer to Attachment Compatibility")</f>
        <v>**Refer to Attachment Compatibility</v>
      </c>
      <c r="F19" s="337"/>
      <c r="G19" s="337"/>
      <c r="H19" s="343"/>
      <c r="I19" s="343"/>
      <c r="J19" s="343"/>
      <c r="K19" s="344"/>
      <c r="L19" s="345"/>
      <c r="M19" s="337"/>
      <c r="N19" s="337"/>
      <c r="O19" s="341"/>
      <c r="P19" s="335"/>
    </row>
    <row r="20" spans="1:16" ht="13.5" thickBot="1">
      <c r="A20" s="53"/>
      <c r="B20" s="118"/>
      <c r="C20" s="413" t="s">
        <v>113</v>
      </c>
      <c r="D20" s="414"/>
      <c r="E20" s="190" t="s">
        <v>116</v>
      </c>
      <c r="F20" s="106"/>
      <c r="G20" s="107"/>
      <c r="I20">
        <f>VLOOKUP(E20,Tires!S2:T5,2,FALSE)</f>
        <v>0</v>
      </c>
      <c r="J20">
        <f>VLOOKUP(E8,Tires!S18:W74,5,FALSE)</f>
        <v>5.65351</v>
      </c>
      <c r="K20" s="215">
        <f>IF(J20="NA",0,J20*I20)</f>
        <v>0</v>
      </c>
      <c r="L20" s="223">
        <f>L8</f>
        <v>60.4</v>
      </c>
      <c r="M20" s="114">
        <f>K20</f>
        <v>0</v>
      </c>
      <c r="N20" s="115">
        <v>0</v>
      </c>
      <c r="O20" s="111"/>
      <c r="P20" s="53"/>
    </row>
    <row r="21" spans="1:16" ht="13.5" thickBot="1">
      <c r="A21" s="53"/>
      <c r="B21" s="118"/>
      <c r="C21" s="413" t="s">
        <v>114</v>
      </c>
      <c r="D21" s="414"/>
      <c r="E21" s="190" t="s">
        <v>116</v>
      </c>
      <c r="F21" s="294">
        <f>IF(J21="NA","LIQUID BALLAST NOT RECOMMENDED","")</f>
      </c>
      <c r="G21" s="107"/>
      <c r="I21">
        <f>VLOOKUP(E21,Tires!S2:T5,2,FALSE)</f>
        <v>0</v>
      </c>
      <c r="J21">
        <f>VLOOKUP(E9,Tires!S18:W74,5,FALSE)</f>
        <v>10.400325</v>
      </c>
      <c r="K21" s="215">
        <f>IF(J21="NA",0,J21*I21)</f>
        <v>0</v>
      </c>
      <c r="L21" s="224">
        <v>0</v>
      </c>
      <c r="M21" s="114">
        <v>0</v>
      </c>
      <c r="N21" s="115">
        <f>K21</f>
        <v>0</v>
      </c>
      <c r="O21" s="111"/>
      <c r="P21" s="53"/>
    </row>
    <row r="22" spans="1:16" ht="13.5" thickBot="1">
      <c r="A22" s="53"/>
      <c r="B22" s="118"/>
      <c r="C22" s="110"/>
      <c r="D22" s="110"/>
      <c r="E22" s="105"/>
      <c r="F22" s="110"/>
      <c r="G22" s="110"/>
      <c r="H22" s="25"/>
      <c r="I22" s="25"/>
      <c r="J22" s="25"/>
      <c r="K22" s="217"/>
      <c r="L22" s="217"/>
      <c r="M22" s="130"/>
      <c r="N22" s="130"/>
      <c r="O22" s="111"/>
      <c r="P22" s="53"/>
    </row>
    <row r="23" spans="1:16" ht="13.5" thickBot="1">
      <c r="A23" s="53"/>
      <c r="B23" s="118"/>
      <c r="C23" s="413" t="s">
        <v>115</v>
      </c>
      <c r="D23" s="414"/>
      <c r="E23" s="190" t="s">
        <v>318</v>
      </c>
      <c r="F23" s="112"/>
      <c r="G23" s="113"/>
      <c r="H23" s="25">
        <f>VLOOKUP(E23,Weights!A50:D51,4,FALSE)</f>
        <v>4</v>
      </c>
      <c r="I23" s="158">
        <f>VLOOKUP(E6,'Tractor Spec'!A2:K19,11,FALSE)</f>
        <v>73.5</v>
      </c>
      <c r="J23" s="25">
        <f>VLOOKUP(E23,Weights!A50:D51,2,FALSE)</f>
        <v>2</v>
      </c>
      <c r="K23" s="217">
        <f>VLOOKUP(E23,Weights!A50:D51,3,FALSE)</f>
        <v>30.26</v>
      </c>
      <c r="L23" s="217">
        <f>J23+I23</f>
        <v>75.5</v>
      </c>
      <c r="M23" s="115">
        <f>K23*(L23/L8)</f>
        <v>37.825</v>
      </c>
      <c r="N23" s="121">
        <f>K23-M23</f>
        <v>-7.565000000000001</v>
      </c>
      <c r="O23" s="111"/>
      <c r="P23" s="53"/>
    </row>
    <row r="24" spans="1:16" ht="13.5" thickBot="1">
      <c r="A24" s="53"/>
      <c r="B24" s="118"/>
      <c r="C24" s="413" t="s">
        <v>296</v>
      </c>
      <c r="D24" s="414"/>
      <c r="E24" s="190">
        <v>4</v>
      </c>
      <c r="F24" s="106"/>
      <c r="G24" s="109"/>
      <c r="H24" s="25">
        <v>3</v>
      </c>
      <c r="I24" s="25"/>
      <c r="J24" s="25"/>
      <c r="K24" s="217">
        <f>VLOOKUP(E24,Weights!B8:C15,2,FALSE)</f>
        <v>168</v>
      </c>
      <c r="L24" s="217">
        <f>I23+H23+H24</f>
        <v>80.5</v>
      </c>
      <c r="M24" s="115">
        <f>K24*(L24/L8)</f>
        <v>223.90728476821192</v>
      </c>
      <c r="N24" s="115">
        <f>K24-M24</f>
        <v>-55.90728476821192</v>
      </c>
      <c r="O24" s="111"/>
      <c r="P24" s="53"/>
    </row>
    <row r="25" spans="1:16" ht="13.5" thickBot="1">
      <c r="A25" s="53"/>
      <c r="B25" s="118"/>
      <c r="C25" s="413" t="s">
        <v>249</v>
      </c>
      <c r="D25" s="414"/>
      <c r="E25" s="190" t="s">
        <v>242</v>
      </c>
      <c r="F25" s="106"/>
      <c r="G25" s="109"/>
      <c r="H25" s="25"/>
      <c r="I25" s="25"/>
      <c r="J25" s="25"/>
      <c r="K25" s="217">
        <f>VLOOKUP(E25,Weights!A40:C46,3,FALSE)</f>
        <v>0</v>
      </c>
      <c r="L25" s="217">
        <v>0</v>
      </c>
      <c r="M25" s="115">
        <v>0</v>
      </c>
      <c r="N25" s="114">
        <f>K25</f>
        <v>0</v>
      </c>
      <c r="O25" s="111"/>
      <c r="P25" s="53"/>
    </row>
    <row r="26" spans="1:16" ht="13.5" thickBot="1">
      <c r="A26" s="53"/>
      <c r="B26" s="118"/>
      <c r="C26" s="110"/>
      <c r="D26" s="110"/>
      <c r="E26" s="105"/>
      <c r="F26" s="173" t="s">
        <v>361</v>
      </c>
      <c r="G26" s="174"/>
      <c r="H26" s="25"/>
      <c r="I26" s="25"/>
      <c r="J26" s="25"/>
      <c r="K26" s="217"/>
      <c r="L26" s="217"/>
      <c r="M26" s="125">
        <f>IF(SUM(M23:M25,M12:M17)&gt;1340,("OVERLOAD"),IF(SUM(M6:M9,M20:M25,M12:M17)&lt;0,("BALLAST"),((SUM(M6:M9,M20:M25,M12:M17)))))</f>
        <v>738.8090844178829</v>
      </c>
      <c r="N26" s="125">
        <f>IF(SUM(N7,N23:N24,N12:N17)&gt;1922,("OVERLOAD"),IF(SUM(N6:N9,N19:N25,N12:N17)&lt;0,("BALLAST"),IF(M26="BALLAST",("-"),SUM(N6:N9,N19:N25,N12:N17))))</f>
        <v>2282.410915582117</v>
      </c>
      <c r="O26" s="111"/>
      <c r="P26" s="53"/>
    </row>
    <row r="27" spans="1:16" ht="13.5" thickBot="1">
      <c r="A27" s="53"/>
      <c r="B27" s="118"/>
      <c r="C27" s="110"/>
      <c r="D27" s="110"/>
      <c r="E27" s="127"/>
      <c r="F27" s="110"/>
      <c r="G27" s="110"/>
      <c r="H27" s="25"/>
      <c r="I27" s="154"/>
      <c r="J27" s="25"/>
      <c r="K27" s="219"/>
      <c r="L27" s="219"/>
      <c r="M27" s="110"/>
      <c r="N27" s="110"/>
      <c r="O27" s="111"/>
      <c r="P27" s="53"/>
    </row>
    <row r="28" spans="1:16" ht="13.5" thickBot="1">
      <c r="A28" s="53"/>
      <c r="B28" s="118"/>
      <c r="C28" s="110"/>
      <c r="D28" s="110"/>
      <c r="E28" s="127"/>
      <c r="F28" s="73" t="s">
        <v>362</v>
      </c>
      <c r="G28" s="110"/>
      <c r="H28" s="25"/>
      <c r="I28" s="25"/>
      <c r="J28" s="25"/>
      <c r="K28" s="217"/>
      <c r="L28" s="217"/>
      <c r="M28" s="73" t="s">
        <v>126</v>
      </c>
      <c r="N28" s="73" t="s">
        <v>1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25">
        <f>IF(M29="-",("-"),IF(N29="-",("-"),((SUM(M26:N26)))))</f>
        <v>3021.22</v>
      </c>
      <c r="G29" s="110"/>
      <c r="H29" s="25"/>
      <c r="I29" s="25"/>
      <c r="J29" s="25"/>
      <c r="K29" s="217"/>
      <c r="L29" s="217"/>
      <c r="M29" s="126">
        <f>IF(M26="OVERLOAD",("-"),IF(N26="OVERLOAD",("-"),IF(M26="BALLAST",("-"),IF(N26="BALLAST",("-"),IF(M26/SUM(M26:N26)&lt;0,("-"),IF(M26/SUM(M26:N26)&gt;1,("-"),((M26/SUM(M26:N26)))))))))</f>
        <v>0.24453998199994803</v>
      </c>
      <c r="N29" s="126">
        <f>IF(M26="OVERLOAD",("-"),IF(N26="OVERLOAD",("-"),IF(M26="BALLAST",("-"),IF(N26="BALLAST",("-"),IF(N26/SUM(M26:N26)&lt;0,("-"),IF(N26/SUM(M26:N26)&gt;1,("-"),((N26/SUM(M26:N26)))))))))</f>
        <v>0.755460018000052</v>
      </c>
      <c r="O29" s="111"/>
      <c r="P29" s="53"/>
    </row>
    <row r="30" spans="1:16" ht="13.5" thickBot="1">
      <c r="A30" s="53"/>
      <c r="B30" s="119"/>
      <c r="C30" s="120"/>
      <c r="D30" s="120"/>
      <c r="E30" s="128"/>
      <c r="F30" s="120"/>
      <c r="G30" s="120"/>
      <c r="H30" s="25"/>
      <c r="I30" s="25"/>
      <c r="J30" s="25"/>
      <c r="K30" s="220"/>
      <c r="L30" s="220"/>
      <c r="M30" s="350" t="str">
        <f>IF(M29&lt;0.2,("FRONT BALLAST RECOMMENDED"),IF(N29&lt;0.5,("REAR BALLAST RECOMMENDED")," "))</f>
        <v> </v>
      </c>
      <c r="N30" s="120"/>
      <c r="O30" s="131"/>
      <c r="P30" s="53"/>
    </row>
    <row r="31" spans="1:16" ht="13.5" thickBot="1">
      <c r="A31" s="53"/>
      <c r="B31" s="53"/>
      <c r="C31" s="53"/>
      <c r="D31" s="53"/>
      <c r="E31" s="108"/>
      <c r="F31" s="53"/>
      <c r="G31" s="53"/>
      <c r="M31" s="53"/>
      <c r="N31" s="53"/>
      <c r="O31" s="53"/>
      <c r="P31" s="53"/>
    </row>
    <row r="32" spans="1:16" ht="13.5" thickBot="1">
      <c r="A32" s="53"/>
      <c r="B32" s="53"/>
      <c r="C32" s="279" t="s">
        <v>259</v>
      </c>
      <c r="D32" s="53"/>
      <c r="E32" s="171"/>
      <c r="F32" s="179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4.5" customHeight="1" thickBot="1">
      <c r="A33" s="53"/>
      <c r="B33" s="53"/>
      <c r="C33" s="172"/>
      <c r="D33" s="53"/>
      <c r="E33" s="17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3.5" thickBot="1">
      <c r="A34" s="53"/>
      <c r="B34" s="53"/>
      <c r="C34" s="279" t="s">
        <v>448</v>
      </c>
      <c r="D34" s="53"/>
      <c r="E34" s="17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274</v>
      </c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2.75">
      <c r="A37" s="53"/>
      <c r="B37" s="53"/>
      <c r="C37" s="170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46.25" customHeight="1">
      <c r="A38" s="53"/>
      <c r="B38" s="53"/>
      <c r="C38" s="53"/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sheetProtection selectLockedCells="1"/>
  <mergeCells count="14">
    <mergeCell ref="C16:D16"/>
    <mergeCell ref="C21:D21"/>
    <mergeCell ref="C17:D17"/>
    <mergeCell ref="C15:D15"/>
    <mergeCell ref="C6:D6"/>
    <mergeCell ref="C8:D8"/>
    <mergeCell ref="C9:D9"/>
    <mergeCell ref="C7:D7"/>
    <mergeCell ref="C25:D25"/>
    <mergeCell ref="C24:D24"/>
    <mergeCell ref="C12:D12"/>
    <mergeCell ref="C20:D20"/>
    <mergeCell ref="C23:D23"/>
    <mergeCell ref="C14:D14"/>
  </mergeCells>
  <conditionalFormatting sqref="M26:N26">
    <cfRule type="cellIs" priority="1" dxfId="9" operator="equal" stopIfTrue="1">
      <formula>"OVERLOAD"</formula>
    </cfRule>
  </conditionalFormatting>
  <dataValidations count="12">
    <dataValidation type="list" allowBlank="1" showInputMessage="1" showErrorMessage="1" sqref="E12">
      <formula1>LOADER3005</formula1>
    </dataValidation>
    <dataValidation type="list" allowBlank="1" showInputMessage="1" showErrorMessage="1" sqref="E14">
      <formula1>IMATCH</formula1>
    </dataValidation>
    <dataValidation type="list" allowBlank="1" showInputMessage="1" showErrorMessage="1" sqref="E15 E17">
      <formula1>ATTACHMENTSREAR</formula1>
    </dataValidation>
    <dataValidation type="list" allowBlank="1" showInputMessage="1" showErrorMessage="1" sqref="E16">
      <formula1>ATTACHMENTSMID</formula1>
    </dataValidation>
    <dataValidation type="list" allowBlank="1" showInputMessage="1" showErrorMessage="1" sqref="E25">
      <formula1>WEIGHTREAR3005</formula1>
    </dataValidation>
    <dataValidation type="list" allowBlank="1" showInputMessage="1" showErrorMessage="1" sqref="E24">
      <formula1>WEIGHTQTY3005</formula1>
    </dataValidation>
    <dataValidation type="list" allowBlank="1" showInputMessage="1" showErrorMessage="1" sqref="E23">
      <formula1>WEIGHTBRACKET3005</formula1>
    </dataValidation>
    <dataValidation type="list" allowBlank="1" showInputMessage="1" showErrorMessage="1" sqref="E21">
      <formula1>TIREFLUID</formula1>
    </dataValidation>
    <dataValidation type="list" allowBlank="1" showInputMessage="1" showErrorMessage="1" sqref="E8">
      <formula1>FRONTTIRES3005</formula1>
    </dataValidation>
    <dataValidation type="list" allowBlank="1" showInputMessage="1" showErrorMessage="1" sqref="E9">
      <formula1>REARTIRES3005</formula1>
    </dataValidation>
    <dataValidation type="list" allowBlank="1" showInputMessage="1" showErrorMessage="1" sqref="E6">
      <formula1>X_3005</formula1>
    </dataValidation>
    <dataValidation type="list" allowBlank="1" showInputMessage="1" showErrorMessage="1" sqref="E20">
      <formula1>TIREFLUIDFRONT</formula1>
    </dataValidation>
  </dataValidations>
  <hyperlinks>
    <hyperlink ref="C36" location="'Cut Ballast Calculator Cover'!A1" display="Back "/>
    <hyperlink ref="C32" location="Attachment!A1" display="Attachment Compatibility"/>
    <hyperlink ref="C34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zoomScalePageLayoutView="0" workbookViewId="0" topLeftCell="A1">
      <selection activeCell="M27" sqref="M27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336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 t="s">
        <v>257</v>
      </c>
      <c r="F6" s="106"/>
      <c r="G6" s="107"/>
      <c r="K6" s="214">
        <f>VLOOKUP(E6,'Tractor Spec'!A2:K19,3,FALSE)</f>
        <v>1708.0602041275122</v>
      </c>
      <c r="L6" s="222">
        <f>VLOOKUP(E6,'Tractor Spec'!A2:K19,7,FALSE)</f>
        <v>29.161306986841733</v>
      </c>
      <c r="M6" s="114">
        <f>K6*(L6/L8)</f>
        <v>830.1544660761656</v>
      </c>
      <c r="N6" s="115">
        <f>K6-M6</f>
        <v>877.9057380513466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7.87</v>
      </c>
      <c r="M7" s="114">
        <f>K7*(L7/L6)</f>
        <v>51.27685122874344</v>
      </c>
      <c r="N7" s="115">
        <f>K7-M7</f>
        <v>138.72314877125655</v>
      </c>
      <c r="O7" s="111"/>
      <c r="P7" s="53"/>
    </row>
    <row r="8" spans="1:16" ht="13.5" thickBot="1">
      <c r="A8" s="53"/>
      <c r="B8" s="118"/>
      <c r="C8" s="413" t="s">
        <v>111</v>
      </c>
      <c r="D8" s="414"/>
      <c r="E8" s="190" t="s">
        <v>61</v>
      </c>
      <c r="F8" s="106"/>
      <c r="G8" s="107"/>
      <c r="J8" s="92">
        <f>VLOOKUP(E8,Tires!S18:V103,3,FALSE)</f>
        <v>48.400000000000006</v>
      </c>
      <c r="K8" s="215">
        <f>J8*2</f>
        <v>96.80000000000001</v>
      </c>
      <c r="L8" s="223">
        <f>VLOOKUP(E6,'Tractor Spec'!A2:K19,6,FALSE)</f>
        <v>60</v>
      </c>
      <c r="M8" s="114">
        <f>K8</f>
        <v>96.80000000000001</v>
      </c>
      <c r="N8" s="115">
        <v>0</v>
      </c>
      <c r="O8" s="111"/>
      <c r="P8" s="53"/>
    </row>
    <row r="9" spans="1:16" ht="13.5" thickBot="1">
      <c r="A9" s="53"/>
      <c r="B9" s="118"/>
      <c r="C9" s="413" t="s">
        <v>112</v>
      </c>
      <c r="D9" s="414"/>
      <c r="E9" s="190" t="s">
        <v>55</v>
      </c>
      <c r="F9" s="106"/>
      <c r="G9" s="107"/>
      <c r="J9" s="92">
        <f>VLOOKUP(E9,Tires!S18:V48,3,FALSE)</f>
        <v>184.8</v>
      </c>
      <c r="K9" s="215">
        <f>J9*2</f>
        <v>369.6</v>
      </c>
      <c r="L9" s="224">
        <v>0</v>
      </c>
      <c r="M9" s="114">
        <v>0</v>
      </c>
      <c r="N9" s="115">
        <f>K9</f>
        <v>369.6</v>
      </c>
      <c r="O9" s="111"/>
      <c r="P9" s="53"/>
    </row>
    <row r="10" spans="1:16" ht="13.5" thickBot="1">
      <c r="A10" s="53"/>
      <c r="B10" s="118"/>
      <c r="C10" s="103"/>
      <c r="D10" s="104"/>
      <c r="E10" s="105"/>
      <c r="F10" s="173" t="s">
        <v>456</v>
      </c>
      <c r="G10" s="174"/>
      <c r="H10" s="288" t="s">
        <v>134</v>
      </c>
      <c r="I10" s="289">
        <f>SUM(K6:K9)</f>
        <v>2364.460204127512</v>
      </c>
      <c r="J10" s="288">
        <f>(SUMPRODUCT(K6:K9,L6:L9))/I10</f>
        <v>24.154590491678217</v>
      </c>
      <c r="K10" s="217"/>
      <c r="L10" s="217"/>
      <c r="M10" s="221">
        <f>SUM(M6:M9)</f>
        <v>978.231317304909</v>
      </c>
      <c r="N10" s="176">
        <f>SUM(N6:N9)</f>
        <v>1386.2288868226033</v>
      </c>
      <c r="O10" s="111"/>
      <c r="P10" s="53"/>
    </row>
    <row r="11" spans="1:16" ht="13.5" thickBot="1">
      <c r="A11" s="53"/>
      <c r="B11" s="118"/>
      <c r="C11" s="110"/>
      <c r="D11" s="110"/>
      <c r="E11" s="105"/>
      <c r="F11" s="110"/>
      <c r="G11" s="110"/>
      <c r="H11" s="25"/>
      <c r="I11" s="25"/>
      <c r="J11" s="25"/>
      <c r="K11" s="217"/>
      <c r="L11" s="217"/>
      <c r="M11" s="130"/>
      <c r="N11" s="130"/>
      <c r="O11" s="111"/>
      <c r="P11" s="53"/>
    </row>
    <row r="12" spans="1:16" ht="13.5" thickBot="1">
      <c r="A12" s="53"/>
      <c r="B12" s="118"/>
      <c r="C12" s="413" t="s">
        <v>425</v>
      </c>
      <c r="D12" s="414"/>
      <c r="E12" s="191" t="s">
        <v>138</v>
      </c>
      <c r="F12" s="320"/>
      <c r="G12" s="107"/>
      <c r="H12" s="25"/>
      <c r="I12" s="25"/>
      <c r="J12" s="25"/>
      <c r="K12" s="217">
        <f>VLOOKUP(E12,Attachment!A146:C163,2,FALSE)</f>
        <v>0</v>
      </c>
      <c r="L12" s="217">
        <f>VLOOKUP(E12,Attachment!A146:C163,3,FALSE)</f>
        <v>0</v>
      </c>
      <c r="M12" s="115">
        <f>K12*(L12/L8)</f>
        <v>0</v>
      </c>
      <c r="N12" s="115">
        <f>K12-M12</f>
        <v>0</v>
      </c>
      <c r="O12" s="111"/>
      <c r="P12" s="53"/>
    </row>
    <row r="13" spans="1:16" s="342" customFormat="1" ht="15.75" thickBot="1">
      <c r="A13" s="335"/>
      <c r="B13" s="336"/>
      <c r="C13" s="337"/>
      <c r="D13" s="337"/>
      <c r="E13" s="347" t="str">
        <f>IF(E12="No Loader"," ","**Refer to Loader Operator's Manual for Proper Ballast Recommendation")</f>
        <v> </v>
      </c>
      <c r="F13" s="337"/>
      <c r="G13" s="337"/>
      <c r="H13" s="338"/>
      <c r="I13" s="338"/>
      <c r="J13" s="338">
        <f>VLOOKUP(E14,Attachment!A3:D4,4,FALSE)</f>
        <v>-4.059055118110236</v>
      </c>
      <c r="K13" s="339"/>
      <c r="L13" s="339"/>
      <c r="M13" s="340"/>
      <c r="N13" s="340"/>
      <c r="O13" s="341"/>
      <c r="P13" s="335"/>
    </row>
    <row r="14" spans="1:16" ht="13.5" thickBot="1">
      <c r="A14" s="53"/>
      <c r="B14" s="118"/>
      <c r="C14" s="413" t="s">
        <v>139</v>
      </c>
      <c r="D14" s="414"/>
      <c r="E14" s="191" t="s">
        <v>224</v>
      </c>
      <c r="F14" s="106"/>
      <c r="G14" s="107"/>
      <c r="H14" s="25"/>
      <c r="I14" s="156">
        <f>VLOOKUP(E6,'Tractor Spec'!A1:J30,10,FALSE)</f>
        <v>-31.78</v>
      </c>
      <c r="J14" s="25">
        <f>VLOOKUP(3E!E14,Attachment!A3:D4,2,FALSE)</f>
        <v>-1.575</v>
      </c>
      <c r="K14" s="217">
        <f>VLOOKUP(3E!E14,Attachment!A3:D4,3,FALSE)</f>
        <v>65</v>
      </c>
      <c r="L14" s="216">
        <f>J14+I14</f>
        <v>-33.355000000000004</v>
      </c>
      <c r="M14" s="115">
        <f>K14*(L14/L8)</f>
        <v>-36.13458333333334</v>
      </c>
      <c r="N14" s="115">
        <f>K14-M14</f>
        <v>101.13458333333334</v>
      </c>
      <c r="O14" s="111"/>
      <c r="P14" s="53"/>
    </row>
    <row r="15" spans="1:16" ht="13.5" thickBot="1">
      <c r="A15" s="53"/>
      <c r="B15" s="118"/>
      <c r="C15" s="413" t="s">
        <v>278</v>
      </c>
      <c r="D15" s="414"/>
      <c r="E15" s="191" t="s">
        <v>460</v>
      </c>
      <c r="F15" s="320"/>
      <c r="G15" s="107"/>
      <c r="H15" s="25"/>
      <c r="I15" s="25"/>
      <c r="J15" s="25">
        <f>VLOOKUP(E15,Attachment!A11:C119,3,FALSE)</f>
        <v>-24</v>
      </c>
      <c r="K15" s="217">
        <f>VLOOKUP(E15,Attachment!A12:C119,2,FALSE)</f>
        <v>491.8032786885246</v>
      </c>
      <c r="L15" s="216">
        <f>I14+J15+J13</f>
        <v>-59.83905511811024</v>
      </c>
      <c r="M15" s="115">
        <f>K15*(L15/L8)</f>
        <v>-490.4840583451659</v>
      </c>
      <c r="N15" s="115">
        <f>K15-M15</f>
        <v>982.2873370336905</v>
      </c>
      <c r="O15" s="111"/>
      <c r="P15" s="53"/>
    </row>
    <row r="16" spans="1:16" ht="13.5" hidden="1" thickBot="1">
      <c r="A16" s="53"/>
      <c r="B16" s="118"/>
      <c r="C16" s="413" t="s">
        <v>279</v>
      </c>
      <c r="D16" s="414"/>
      <c r="E16" s="191" t="s">
        <v>234</v>
      </c>
      <c r="F16" s="122"/>
      <c r="G16" s="291"/>
      <c r="H16" s="25"/>
      <c r="I16" s="25"/>
      <c r="J16" s="25"/>
      <c r="K16" s="217">
        <f>VLOOKUP(E16,Attachment!A133:C142,2,FALSE)</f>
        <v>0</v>
      </c>
      <c r="L16" s="216">
        <f>VLOOKUP(E16,Attachment!A133:C142,3,FALSE)</f>
        <v>0</v>
      </c>
      <c r="M16" s="115">
        <f>K16*(L16/L8)</f>
        <v>0</v>
      </c>
      <c r="N16" s="115">
        <f>K16-M16</f>
        <v>0</v>
      </c>
      <c r="O16" s="111"/>
      <c r="P16" s="53"/>
    </row>
    <row r="17" spans="1:16" ht="13.5" hidden="1" thickBot="1">
      <c r="A17" s="53"/>
      <c r="B17" s="118"/>
      <c r="C17" s="413" t="s">
        <v>280</v>
      </c>
      <c r="D17" s="414"/>
      <c r="E17" s="191" t="s">
        <v>234</v>
      </c>
      <c r="F17" s="122" t="s">
        <v>70</v>
      </c>
      <c r="G17" s="291"/>
      <c r="H17" s="25"/>
      <c r="I17" s="25"/>
      <c r="J17" s="25"/>
      <c r="K17" s="217">
        <f>VLOOKUP(E17,Attachment!A83:C121,2,FALSE)</f>
        <v>0</v>
      </c>
      <c r="L17" s="216">
        <f>VLOOKUP(E17,Attachment!A133:C142,3,FALSE)</f>
        <v>0</v>
      </c>
      <c r="M17" s="115">
        <f>K17*(L17/L20)</f>
        <v>0</v>
      </c>
      <c r="N17" s="115">
        <f>K17-M17</f>
        <v>0</v>
      </c>
      <c r="O17" s="111"/>
      <c r="P17" s="53"/>
    </row>
    <row r="18" spans="1:16" ht="13.5" thickBot="1">
      <c r="A18" s="53"/>
      <c r="B18" s="118"/>
      <c r="C18" s="110"/>
      <c r="D18" s="110"/>
      <c r="E18" s="127"/>
      <c r="F18" s="173" t="s">
        <v>421</v>
      </c>
      <c r="G18" s="292"/>
      <c r="H18" s="153"/>
      <c r="I18" s="153"/>
      <c r="J18" s="153"/>
      <c r="K18" s="218"/>
      <c r="L18" s="218"/>
      <c r="M18" s="176">
        <f>SUM(M6:M9,M12:M17)</f>
        <v>451.6126756264097</v>
      </c>
      <c r="N18" s="221">
        <f>SUM(N12:N17,N6:N9)</f>
        <v>2469.650807189627</v>
      </c>
      <c r="O18" s="111"/>
      <c r="P18" s="53"/>
    </row>
    <row r="19" spans="1:16" s="342" customFormat="1" ht="16.5" thickBot="1">
      <c r="A19" s="335"/>
      <c r="B19" s="336"/>
      <c r="C19" s="337"/>
      <c r="D19" s="337"/>
      <c r="E19" s="347" t="str">
        <f>IF(E15="No Attachment","","**Refer to Attachment Compatibility")</f>
        <v>**Refer to Attachment Compatibility</v>
      </c>
      <c r="F19" s="337"/>
      <c r="G19" s="337"/>
      <c r="H19" s="343"/>
      <c r="I19" s="343"/>
      <c r="J19" s="343"/>
      <c r="K19" s="344"/>
      <c r="L19" s="345"/>
      <c r="M19" s="337"/>
      <c r="N19" s="337"/>
      <c r="O19" s="341"/>
      <c r="P19" s="335"/>
    </row>
    <row r="20" spans="1:16" ht="13.5" thickBot="1">
      <c r="A20" s="53"/>
      <c r="B20" s="118"/>
      <c r="C20" s="413" t="s">
        <v>113</v>
      </c>
      <c r="D20" s="414"/>
      <c r="E20" s="190" t="s">
        <v>116</v>
      </c>
      <c r="F20" s="106"/>
      <c r="G20" s="107"/>
      <c r="I20">
        <f>VLOOKUP(E20,Tires!S2:T5,2,FALSE)</f>
        <v>0</v>
      </c>
      <c r="J20">
        <f>VLOOKUP(E8,Tires!S18:W103,5,FALSE)</f>
        <v>5.65351</v>
      </c>
      <c r="K20" s="215">
        <f>IF(J20="NA",0,J20*I20)</f>
        <v>0</v>
      </c>
      <c r="L20" s="223">
        <f>L8</f>
        <v>60</v>
      </c>
      <c r="M20" s="114">
        <f>K20</f>
        <v>0</v>
      </c>
      <c r="N20" s="115">
        <v>0</v>
      </c>
      <c r="O20" s="111"/>
      <c r="P20" s="53"/>
    </row>
    <row r="21" spans="1:16" ht="13.5" thickBot="1">
      <c r="A21" s="53"/>
      <c r="B21" s="118"/>
      <c r="C21" s="413" t="s">
        <v>114</v>
      </c>
      <c r="D21" s="414"/>
      <c r="E21" s="190" t="s">
        <v>116</v>
      </c>
      <c r="F21" s="294">
        <f>IF(J21="NA","LIQUID BALLAST NOT RECOMMENDED","")</f>
      </c>
      <c r="G21" s="107"/>
      <c r="I21">
        <f>VLOOKUP(E21,Tires!S2:T5,2,FALSE)</f>
        <v>0</v>
      </c>
      <c r="J21">
        <f>VLOOKUP(E9,Tires!S18:W48,5,FALSE)</f>
        <v>10.400325</v>
      </c>
      <c r="K21" s="215">
        <f>IF(J21="NA",0,J21*I21)</f>
        <v>0</v>
      </c>
      <c r="L21" s="224">
        <v>0</v>
      </c>
      <c r="M21" s="114">
        <v>0</v>
      </c>
      <c r="N21" s="115">
        <f>K21</f>
        <v>0</v>
      </c>
      <c r="O21" s="111"/>
      <c r="P21" s="53"/>
    </row>
    <row r="22" spans="1:16" ht="13.5" thickBot="1">
      <c r="A22" s="53"/>
      <c r="B22" s="118"/>
      <c r="C22" s="110"/>
      <c r="D22" s="110"/>
      <c r="E22" s="105"/>
      <c r="F22" s="110"/>
      <c r="G22" s="110"/>
      <c r="H22" s="25"/>
      <c r="I22" s="25"/>
      <c r="J22" s="25"/>
      <c r="K22" s="217"/>
      <c r="L22" s="217"/>
      <c r="M22" s="130"/>
      <c r="N22" s="130"/>
      <c r="O22" s="111"/>
      <c r="P22" s="53"/>
    </row>
    <row r="23" spans="1:16" ht="13.5" thickBot="1">
      <c r="A23" s="53"/>
      <c r="B23" s="118"/>
      <c r="C23" s="413" t="s">
        <v>115</v>
      </c>
      <c r="D23" s="414"/>
      <c r="E23" s="190" t="s">
        <v>337</v>
      </c>
      <c r="F23" s="106"/>
      <c r="G23" s="107"/>
      <c r="H23" s="25">
        <f>VLOOKUP(E23,Weights!A5:D100,4,FALSE)</f>
        <v>3.070866141732284</v>
      </c>
      <c r="I23" s="158">
        <f>VLOOKUP(E6,'Tractor Spec'!A2:K19,11,FALSE)</f>
        <v>80.22</v>
      </c>
      <c r="J23" s="25">
        <f>VLOOKUP(E23,Weights!A5:D100,2,FALSE)</f>
        <v>1.535433070866142</v>
      </c>
      <c r="K23" s="217">
        <f>VLOOKUP(E23,Weights!A5:D100,3,FALSE)</f>
        <v>33.4595</v>
      </c>
      <c r="L23" s="217">
        <f>J23+I23</f>
        <v>81.75543307086615</v>
      </c>
      <c r="M23" s="115">
        <f>K23*(L23/L8)</f>
        <v>45.5915985472441</v>
      </c>
      <c r="N23" s="115">
        <f>K23-M23</f>
        <v>-12.132098547244098</v>
      </c>
      <c r="O23" s="111"/>
      <c r="P23" s="53"/>
    </row>
    <row r="24" spans="1:16" ht="13.5" thickBot="1">
      <c r="A24" s="53"/>
      <c r="B24" s="118"/>
      <c r="C24" s="413" t="s">
        <v>343</v>
      </c>
      <c r="D24" s="415"/>
      <c r="E24" s="190" t="s">
        <v>345</v>
      </c>
      <c r="F24" s="116"/>
      <c r="G24" s="117"/>
      <c r="H24" s="25"/>
      <c r="I24" s="25"/>
      <c r="J24" s="25"/>
      <c r="K24" s="217"/>
      <c r="L24" s="217"/>
      <c r="M24" s="130"/>
      <c r="N24" s="130"/>
      <c r="O24" s="111"/>
      <c r="P24" s="53"/>
    </row>
    <row r="25" spans="1:16" ht="13.5" thickBot="1">
      <c r="A25" s="53"/>
      <c r="B25" s="118"/>
      <c r="C25" s="413" t="s">
        <v>296</v>
      </c>
      <c r="D25" s="414"/>
      <c r="E25" s="190">
        <v>3</v>
      </c>
      <c r="F25" s="106"/>
      <c r="G25" s="107"/>
      <c r="H25" s="25">
        <f>VLOOKUP(E24,Weights!A9:F10,6,FALSE)</f>
        <v>4.52755905511811</v>
      </c>
      <c r="I25" s="25">
        <f>VLOOKUP(E24,Weights!A9:F10,5,FALSE)</f>
        <v>70</v>
      </c>
      <c r="J25" s="25"/>
      <c r="K25" s="217">
        <f>I25*E25</f>
        <v>210</v>
      </c>
      <c r="L25" s="217">
        <f>I23+H23+H25</f>
        <v>87.81842519685038</v>
      </c>
      <c r="M25" s="115">
        <f>K25*(L25/L8)</f>
        <v>307.36448818897634</v>
      </c>
      <c r="N25" s="115">
        <f>K25-M25</f>
        <v>-97.36448818897634</v>
      </c>
      <c r="O25" s="111"/>
      <c r="P25" s="53"/>
    </row>
    <row r="26" spans="1:16" ht="13.5" thickBot="1">
      <c r="A26" s="53"/>
      <c r="B26" s="118"/>
      <c r="C26" s="413" t="s">
        <v>249</v>
      </c>
      <c r="D26" s="414"/>
      <c r="E26" s="190" t="s">
        <v>242</v>
      </c>
      <c r="F26" s="106"/>
      <c r="G26" s="107"/>
      <c r="H26" s="25"/>
      <c r="I26" s="25"/>
      <c r="J26" s="25"/>
      <c r="K26" s="217">
        <f>VLOOKUP(E26,Weights!A30:C49,3,FALSE)</f>
        <v>0</v>
      </c>
      <c r="L26" s="217">
        <v>0</v>
      </c>
      <c r="M26" s="115">
        <v>0</v>
      </c>
      <c r="N26" s="114">
        <f>K26</f>
        <v>0</v>
      </c>
      <c r="O26" s="111"/>
      <c r="P26" s="53"/>
    </row>
    <row r="27" spans="1:16" ht="13.5" thickBot="1">
      <c r="A27" s="53"/>
      <c r="B27" s="118"/>
      <c r="C27" s="110"/>
      <c r="D27" s="110"/>
      <c r="E27" s="105"/>
      <c r="F27" s="173" t="s">
        <v>361</v>
      </c>
      <c r="G27" s="174"/>
      <c r="H27" s="25"/>
      <c r="I27" s="25"/>
      <c r="J27" s="25"/>
      <c r="K27" s="217"/>
      <c r="L27" s="217"/>
      <c r="M27" s="125">
        <f>IF(SUM(M23:M26,M12:M17)&gt;1760,("OVERLOAD"),IF(SUM(M6:M9,M19:M26,M12:M17)&lt;0,("BALLAST"),((SUM(M6:M9,M19:M26,M12:M17)))))</f>
        <v>804.5687623626302</v>
      </c>
      <c r="N27" s="125">
        <f>IF(SUM(N7,N23:N26,N12:N17)&gt;2640,("OVERLOAD"),IF(SUM(N6:N9,N20:N26,N12:N17)&lt;0,("BALLAST"),IF(M27="BALLAST",("-"),SUM(N6:N9,N20:N26,N12:N17))))</f>
        <v>2360.1542204534067</v>
      </c>
      <c r="O27" s="111"/>
      <c r="P27" s="53"/>
    </row>
    <row r="28" spans="1:16" ht="13.5" thickBot="1">
      <c r="A28" s="53"/>
      <c r="B28" s="118"/>
      <c r="C28" s="110"/>
      <c r="D28" s="110"/>
      <c r="E28" s="127"/>
      <c r="F28" s="110"/>
      <c r="G28" s="110"/>
      <c r="H28" s="25"/>
      <c r="I28" s="154"/>
      <c r="J28" s="25"/>
      <c r="K28" s="219"/>
      <c r="L28" s="219"/>
      <c r="M28" s="110"/>
      <c r="N28" s="110"/>
      <c r="O28" s="111"/>
      <c r="P28" s="53"/>
    </row>
    <row r="29" spans="1:16" ht="13.5" thickBot="1">
      <c r="A29" s="53"/>
      <c r="B29" s="118"/>
      <c r="C29" s="110"/>
      <c r="D29" s="110"/>
      <c r="E29" s="127"/>
      <c r="F29" s="73" t="s">
        <v>362</v>
      </c>
      <c r="G29" s="110"/>
      <c r="H29" s="25"/>
      <c r="I29" s="25"/>
      <c r="J29" s="25"/>
      <c r="K29" s="217"/>
      <c r="L29" s="217"/>
      <c r="M29" s="73" t="s">
        <v>126</v>
      </c>
      <c r="N29" s="73" t="s">
        <v>1</v>
      </c>
      <c r="O29" s="111"/>
      <c r="P29" s="53"/>
    </row>
    <row r="30" spans="1:16" ht="13.5" thickBot="1">
      <c r="A30" s="53"/>
      <c r="B30" s="118"/>
      <c r="C30" s="110"/>
      <c r="D30" s="110"/>
      <c r="E30" s="127"/>
      <c r="F30" s="125">
        <f>IF(M30="-",("-"),IF(N30="-",("-"),((SUM(M27:N27)))))</f>
        <v>3164.722982816037</v>
      </c>
      <c r="G30" s="110"/>
      <c r="H30" s="25"/>
      <c r="I30" s="25"/>
      <c r="J30" s="25"/>
      <c r="K30" s="217"/>
      <c r="L30" s="217"/>
      <c r="M30" s="126">
        <f>IF(M27="OVERLOAD",("-"),IF(N27="OVERLOAD",("-"),IF(M27="BALLAST",("-"),IF(N27="BALLAST",("-"),IF(M27/SUM(M27:N27)&lt;0,("-"),IF(M27/SUM(M27:N27)&gt;1,("-"),((M27/SUM(M27:N27)))))))))</f>
        <v>0.25423039132692365</v>
      </c>
      <c r="N30" s="126">
        <f>IF(M27="OVERLOAD",("-"),IF(N27="OVERLOAD",("-"),IF(M27="BALLAST",("-"),IF(N27="BALLAST",("-"),IF(N27/SUM(M27:N27)&lt;0,("-"),IF(N27/SUM(M27:N27)&gt;1,("-"),((N27/SUM(M27:N27)))))))))</f>
        <v>0.7457696086730763</v>
      </c>
      <c r="O30" s="111"/>
      <c r="P30" s="53"/>
    </row>
    <row r="31" spans="1:16" ht="13.5" thickBot="1">
      <c r="A31" s="53"/>
      <c r="B31" s="119"/>
      <c r="C31" s="120"/>
      <c r="D31" s="120"/>
      <c r="E31" s="128"/>
      <c r="F31" s="120"/>
      <c r="G31" s="120"/>
      <c r="H31" s="25"/>
      <c r="I31" s="25"/>
      <c r="J31" s="25"/>
      <c r="K31" s="220"/>
      <c r="L31" s="220"/>
      <c r="M31" s="350" t="str">
        <f>IF(M30&lt;0.2,("FRONT BALLAST RECOMMENDED"),IF(N30&lt;0.5,("REAR BALLAST RECOMMENDED")," "))</f>
        <v> </v>
      </c>
      <c r="N31" s="120"/>
      <c r="O31" s="131"/>
      <c r="P31" s="53"/>
    </row>
    <row r="32" spans="1:16" ht="13.5" thickBot="1">
      <c r="A32" s="53"/>
      <c r="B32" s="53"/>
      <c r="C32" s="53"/>
      <c r="D32" s="53"/>
      <c r="E32" s="108"/>
      <c r="F32" s="53"/>
      <c r="G32" s="53"/>
      <c r="M32" s="53"/>
      <c r="N32" s="53"/>
      <c r="O32" s="53"/>
      <c r="P32" s="53"/>
    </row>
    <row r="33" spans="1:16" ht="13.5" thickBot="1">
      <c r="A33" s="53"/>
      <c r="B33" s="53"/>
      <c r="C33" s="279" t="s">
        <v>259</v>
      </c>
      <c r="D33" s="53"/>
      <c r="E33" s="171"/>
      <c r="F33" s="179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4.5" customHeight="1" thickBot="1">
      <c r="A34" s="53"/>
      <c r="B34" s="53"/>
      <c r="C34" s="172"/>
      <c r="D34" s="53"/>
      <c r="E34" s="17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3.5" thickBot="1">
      <c r="A35" s="53"/>
      <c r="B35" s="53"/>
      <c r="C35" s="279" t="s">
        <v>448</v>
      </c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4.5" customHeight="1" thickBot="1">
      <c r="A36" s="53"/>
      <c r="B36" s="53"/>
      <c r="C36" s="172"/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3.5" thickBot="1">
      <c r="A37" s="53"/>
      <c r="B37" s="53"/>
      <c r="C37" s="279" t="s">
        <v>274</v>
      </c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2.75">
      <c r="A38" s="53"/>
      <c r="B38" s="53"/>
      <c r="C38" s="170"/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46.25" customHeight="1">
      <c r="A39" s="53"/>
      <c r="B39" s="53"/>
      <c r="C39" s="53"/>
      <c r="D39" s="53"/>
      <c r="E39" s="171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</sheetData>
  <sheetProtection selectLockedCells="1"/>
  <mergeCells count="15">
    <mergeCell ref="C6:D6"/>
    <mergeCell ref="C8:D8"/>
    <mergeCell ref="C9:D9"/>
    <mergeCell ref="C20:D20"/>
    <mergeCell ref="C15:D15"/>
    <mergeCell ref="C14:D14"/>
    <mergeCell ref="C16:D16"/>
    <mergeCell ref="C7:D7"/>
    <mergeCell ref="C21:D21"/>
    <mergeCell ref="C26:D26"/>
    <mergeCell ref="C25:D25"/>
    <mergeCell ref="C12:D12"/>
    <mergeCell ref="C17:D17"/>
    <mergeCell ref="C24:D24"/>
    <mergeCell ref="C23:D23"/>
  </mergeCells>
  <conditionalFormatting sqref="M27:N27">
    <cfRule type="cellIs" priority="1" dxfId="9" operator="equal" stopIfTrue="1">
      <formula>"OVERLOAD"</formula>
    </cfRule>
  </conditionalFormatting>
  <dataValidations count="13">
    <dataValidation type="list" allowBlank="1" showInputMessage="1" showErrorMessage="1" sqref="E12">
      <formula1>LOADER3E</formula1>
    </dataValidation>
    <dataValidation type="list" allowBlank="1" showInputMessage="1" showErrorMessage="1" sqref="E14">
      <formula1>IMATCH</formula1>
    </dataValidation>
    <dataValidation type="list" allowBlank="1" showInputMessage="1" showErrorMessage="1" sqref="E15 E17">
      <formula1>ATTACHMENTSREAR</formula1>
    </dataValidation>
    <dataValidation type="list" allowBlank="1" showInputMessage="1" showErrorMessage="1" sqref="E16">
      <formula1>ATTACHMENTSMID</formula1>
    </dataValidation>
    <dataValidation type="list" allowBlank="1" showInputMessage="1" showErrorMessage="1" sqref="E26">
      <formula1>WEIGHTREAR3005</formula1>
    </dataValidation>
    <dataValidation type="list" allowBlank="1" showInputMessage="1" showErrorMessage="1" sqref="E25">
      <formula1>WEIGHTQTY3E</formula1>
    </dataValidation>
    <dataValidation type="list" allowBlank="1" showInputMessage="1" showErrorMessage="1" sqref="E24">
      <formula1>WEIGHTS</formula1>
    </dataValidation>
    <dataValidation type="list" allowBlank="1" showInputMessage="1" showErrorMessage="1" sqref="E23">
      <formula1>WEIGHTBRACKET3E</formula1>
    </dataValidation>
    <dataValidation type="list" allowBlank="1" showInputMessage="1" showErrorMessage="1" sqref="E21">
      <formula1>TIREFLUID</formula1>
    </dataValidation>
    <dataValidation type="list" allowBlank="1" showInputMessage="1" showErrorMessage="1" sqref="E8">
      <formula1>FRONTTIRES3E</formula1>
    </dataValidation>
    <dataValidation type="list" allowBlank="1" showInputMessage="1" showErrorMessage="1" sqref="E9">
      <formula1>REARTIRES3E</formula1>
    </dataValidation>
    <dataValidation type="list" allowBlank="1" showInputMessage="1" showErrorMessage="1" sqref="E6">
      <formula1>X_3E</formula1>
    </dataValidation>
    <dataValidation type="list" allowBlank="1" showInputMessage="1" showErrorMessage="1" sqref="E20">
      <formula1>TIREFLUIDFRONT</formula1>
    </dataValidation>
  </dataValidations>
  <hyperlinks>
    <hyperlink ref="C37" location="'Cut Ballast Calculator Cover'!A1" display="Back "/>
    <hyperlink ref="C33" location="Attachment!A1" display="Attachment Compatibility"/>
    <hyperlink ref="C35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zoomScalePageLayoutView="0" workbookViewId="0" topLeftCell="A1">
      <selection activeCell="C38" sqref="C38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349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>
        <v>3720</v>
      </c>
      <c r="F6" s="106"/>
      <c r="G6" s="107"/>
      <c r="K6" s="214">
        <f>VLOOKUP(E6,'Tractor Spec'!A2:K19,3,FALSE)</f>
        <v>2481.4</v>
      </c>
      <c r="L6" s="222">
        <f>VLOOKUP(E6,'Tractor Spec'!A2:K19,7,FALSE)</f>
        <v>32.310824534536955</v>
      </c>
      <c r="M6" s="114">
        <f>K6*(L6/L9)</f>
        <v>1179.06</v>
      </c>
      <c r="N6" s="115">
        <f>K6-M6</f>
        <v>1302.3400000000001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8</v>
      </c>
      <c r="M7" s="114">
        <f>K7*(L7/L6)</f>
        <v>47.043058228838326</v>
      </c>
      <c r="N7" s="115">
        <f>K7-M7</f>
        <v>142.95694177116167</v>
      </c>
      <c r="O7" s="111"/>
      <c r="P7" s="53"/>
    </row>
    <row r="8" spans="1:16" ht="13.5" thickBot="1">
      <c r="A8" s="53"/>
      <c r="B8" s="118"/>
      <c r="C8" s="413" t="s">
        <v>357</v>
      </c>
      <c r="D8" s="415"/>
      <c r="E8" s="230" t="s">
        <v>358</v>
      </c>
      <c r="F8" s="106"/>
      <c r="G8" s="107"/>
      <c r="K8" s="219">
        <f>VLOOKUP(E8,'Tractor Spec'!A21:G22,3,FALSE)</f>
        <v>0</v>
      </c>
      <c r="L8" s="217">
        <f>VLOOKUP(E8,'Tractor Spec'!A21:G22,7,FALSE)</f>
        <v>0</v>
      </c>
      <c r="M8" s="114">
        <f>K8*(L8/L9)</f>
        <v>0</v>
      </c>
      <c r="N8" s="115">
        <f>K8-M8</f>
        <v>0</v>
      </c>
      <c r="O8" s="111"/>
      <c r="P8" s="53"/>
    </row>
    <row r="9" spans="1:16" ht="13.5" thickBot="1">
      <c r="A9" s="53"/>
      <c r="B9" s="118"/>
      <c r="C9" s="413" t="s">
        <v>111</v>
      </c>
      <c r="D9" s="414"/>
      <c r="E9" s="190" t="s">
        <v>88</v>
      </c>
      <c r="F9" s="106"/>
      <c r="G9" s="107"/>
      <c r="J9" s="92">
        <f>VLOOKUP(E9,Tires!S18:V103,3,FALSE)</f>
        <v>59.400000000000006</v>
      </c>
      <c r="K9" s="215">
        <f>J9*2</f>
        <v>118.80000000000001</v>
      </c>
      <c r="L9" s="223">
        <f>VLOOKUP(E6,'Tractor Spec'!A2:K19,6,FALSE)</f>
        <v>68</v>
      </c>
      <c r="M9" s="114">
        <f>K9</f>
        <v>118.80000000000001</v>
      </c>
      <c r="N9" s="115">
        <v>0</v>
      </c>
      <c r="O9" s="111"/>
      <c r="P9" s="53"/>
    </row>
    <row r="10" spans="1:16" ht="13.5" thickBot="1">
      <c r="A10" s="53"/>
      <c r="B10" s="118"/>
      <c r="C10" s="413" t="s">
        <v>112</v>
      </c>
      <c r="D10" s="414"/>
      <c r="E10" s="190" t="s">
        <v>84</v>
      </c>
      <c r="F10" s="106"/>
      <c r="G10" s="107"/>
      <c r="J10" s="92">
        <f>VLOOKUP(E10,Tires!S18:V48,3,FALSE)</f>
        <v>125.4</v>
      </c>
      <c r="K10" s="215">
        <f>J10*2</f>
        <v>250.8</v>
      </c>
      <c r="L10" s="224">
        <v>0</v>
      </c>
      <c r="M10" s="114">
        <v>0</v>
      </c>
      <c r="N10" s="115">
        <f>K10</f>
        <v>250.8</v>
      </c>
      <c r="O10" s="111"/>
      <c r="P10" s="53"/>
    </row>
    <row r="11" spans="1:16" ht="13.5" thickBot="1">
      <c r="A11" s="53"/>
      <c r="B11" s="118"/>
      <c r="C11" s="103"/>
      <c r="D11" s="104"/>
      <c r="E11" s="105"/>
      <c r="F11" s="173" t="s">
        <v>456</v>
      </c>
      <c r="G11" s="174"/>
      <c r="H11" s="288" t="s">
        <v>134</v>
      </c>
      <c r="I11" s="289">
        <f>SUM(K6:K10)</f>
        <v>3041.0000000000005</v>
      </c>
      <c r="J11" s="288">
        <f>(SUMPRODUCT(K6:K10,L6:L10))/I11</f>
        <v>29.521367971062144</v>
      </c>
      <c r="K11" s="217"/>
      <c r="L11" s="217"/>
      <c r="M11" s="221">
        <f>SUM(M6:M10)</f>
        <v>1344.9030582288383</v>
      </c>
      <c r="N11" s="176">
        <f>SUM(N6:N10)</f>
        <v>1696.0969417711617</v>
      </c>
      <c r="O11" s="111"/>
      <c r="P11" s="53"/>
    </row>
    <row r="12" spans="1:16" ht="13.5" thickBot="1">
      <c r="A12" s="53"/>
      <c r="B12" s="118"/>
      <c r="C12" s="110"/>
      <c r="D12" s="110"/>
      <c r="E12" s="105"/>
      <c r="F12" s="110"/>
      <c r="G12" s="110"/>
      <c r="H12" s="25"/>
      <c r="I12" s="25"/>
      <c r="J12" s="25"/>
      <c r="K12" s="217"/>
      <c r="L12" s="217"/>
      <c r="M12" s="130"/>
      <c r="N12" s="130"/>
      <c r="O12" s="111"/>
      <c r="P12" s="53"/>
    </row>
    <row r="13" spans="1:16" ht="13.5" thickBot="1">
      <c r="A13" s="53"/>
      <c r="B13" s="118"/>
      <c r="C13" s="413" t="s">
        <v>425</v>
      </c>
      <c r="D13" s="414"/>
      <c r="E13" s="191" t="s">
        <v>138</v>
      </c>
      <c r="F13" s="320"/>
      <c r="G13" s="109"/>
      <c r="H13" s="25"/>
      <c r="I13" s="25"/>
      <c r="J13" s="25"/>
      <c r="K13" s="217">
        <f>VLOOKUP(E13,Attachment!A146:C163,2,FALSE)</f>
        <v>0</v>
      </c>
      <c r="L13" s="217">
        <f>VLOOKUP(E13,Attachment!A146:C163,3,FALSE)</f>
        <v>0</v>
      </c>
      <c r="M13" s="115">
        <f>K13*(L13/L9)</f>
        <v>0</v>
      </c>
      <c r="N13" s="115">
        <f>K13-M13</f>
        <v>0</v>
      </c>
      <c r="O13" s="111"/>
      <c r="P13" s="53"/>
    </row>
    <row r="14" spans="1:16" s="342" customFormat="1" ht="15.75" thickBot="1">
      <c r="A14" s="335"/>
      <c r="B14" s="336"/>
      <c r="C14" s="337"/>
      <c r="D14" s="337"/>
      <c r="E14" s="347" t="str">
        <f>IF(E13="No Loader"," ","**Refer to Loader Operator's Manual for Proper Ballast Recommendation")</f>
        <v> </v>
      </c>
      <c r="F14" s="337"/>
      <c r="G14" s="337"/>
      <c r="H14" s="338"/>
      <c r="I14" s="338"/>
      <c r="J14" s="338">
        <f>VLOOKUP(E15,Attachment!A3:D4,4,FALSE)</f>
        <v>-4.059055118110236</v>
      </c>
      <c r="K14" s="339"/>
      <c r="L14" s="339"/>
      <c r="M14" s="340"/>
      <c r="N14" s="340"/>
      <c r="O14" s="341"/>
      <c r="P14" s="335"/>
    </row>
    <row r="15" spans="1:16" ht="13.5" thickBot="1">
      <c r="A15" s="53"/>
      <c r="B15" s="118"/>
      <c r="C15" s="413" t="s">
        <v>139</v>
      </c>
      <c r="D15" s="414"/>
      <c r="E15" s="191" t="s">
        <v>224</v>
      </c>
      <c r="F15" s="106"/>
      <c r="G15" s="109"/>
      <c r="H15" s="25"/>
      <c r="I15" s="156">
        <f>VLOOKUP(E6,'Tractor Spec'!A1:J30,10,FALSE)</f>
        <v>-31.25</v>
      </c>
      <c r="J15" s="25">
        <f>VLOOKUP(3X20!E15,Attachment!A3:D4,2,FALSE)</f>
        <v>-1.575</v>
      </c>
      <c r="K15" s="217">
        <f>VLOOKUP(3X20!E15,Attachment!A3:D4,3,FALSE)</f>
        <v>65</v>
      </c>
      <c r="L15" s="216">
        <f>J15+I15</f>
        <v>-32.825</v>
      </c>
      <c r="M15" s="115">
        <f>K15*(L15/L9)</f>
        <v>-31.376838235294123</v>
      </c>
      <c r="N15" s="115">
        <f>K15-M15</f>
        <v>96.37683823529412</v>
      </c>
      <c r="O15" s="111"/>
      <c r="P15" s="53"/>
    </row>
    <row r="16" spans="1:16" ht="13.5" thickBot="1">
      <c r="A16" s="53"/>
      <c r="B16" s="118"/>
      <c r="C16" s="413" t="s">
        <v>278</v>
      </c>
      <c r="D16" s="414"/>
      <c r="E16" s="191" t="s">
        <v>479</v>
      </c>
      <c r="F16" s="320"/>
      <c r="G16" s="109"/>
      <c r="H16" s="25"/>
      <c r="I16" s="25"/>
      <c r="J16" s="25">
        <f>VLOOKUP(E16,Attachment!A11:C119,3,FALSE)</f>
        <v>-16.798</v>
      </c>
      <c r="K16" s="217">
        <f>VLOOKUP(E16,Attachment!A12:C119,2,FALSE)</f>
        <v>580</v>
      </c>
      <c r="L16" s="216">
        <f>I15+J16+J14</f>
        <v>-52.10705511811024</v>
      </c>
      <c r="M16" s="115">
        <f>K16*(L16/L9)</f>
        <v>-444.4425289485873</v>
      </c>
      <c r="N16" s="115">
        <f>K16-M16</f>
        <v>1024.4425289485873</v>
      </c>
      <c r="O16" s="111"/>
      <c r="P16" s="53"/>
    </row>
    <row r="17" spans="1:16" ht="13.5" hidden="1" thickBot="1">
      <c r="A17" s="53"/>
      <c r="B17" s="118"/>
      <c r="C17" s="413" t="s">
        <v>279</v>
      </c>
      <c r="D17" s="414"/>
      <c r="E17" s="191" t="s">
        <v>234</v>
      </c>
      <c r="F17" s="122"/>
      <c r="G17" s="123"/>
      <c r="H17" s="25"/>
      <c r="I17" s="25"/>
      <c r="J17" s="25"/>
      <c r="K17" s="217">
        <f>VLOOKUP(E17,Attachment!A133:C142,2,FALSE)</f>
        <v>0</v>
      </c>
      <c r="L17" s="216">
        <f>VLOOKUP(E17,Attachment!A133:C142,3,FALSE)</f>
        <v>0</v>
      </c>
      <c r="M17" s="115">
        <f>K17*(L17/L9)</f>
        <v>0</v>
      </c>
      <c r="N17" s="115">
        <f>K17-M17</f>
        <v>0</v>
      </c>
      <c r="O17" s="111"/>
      <c r="P17" s="53"/>
    </row>
    <row r="18" spans="1:16" ht="13.5" hidden="1" thickBot="1">
      <c r="A18" s="53"/>
      <c r="B18" s="118"/>
      <c r="C18" s="413" t="s">
        <v>280</v>
      </c>
      <c r="D18" s="414"/>
      <c r="E18" s="191" t="s">
        <v>234</v>
      </c>
      <c r="F18" s="122" t="s">
        <v>70</v>
      </c>
      <c r="G18" s="123"/>
      <c r="H18" s="25"/>
      <c r="I18" s="25"/>
      <c r="J18" s="25"/>
      <c r="K18" s="217">
        <f>VLOOKUP(E18,Attachment!A83:C121,2,FALSE)</f>
        <v>0</v>
      </c>
      <c r="L18" s="216">
        <f>VLOOKUP(E18,Attachment!A133:C142,3,FALSE)</f>
        <v>0</v>
      </c>
      <c r="M18" s="115">
        <f>K18*(L18/L21)</f>
        <v>0</v>
      </c>
      <c r="N18" s="115">
        <f>K18-M18</f>
        <v>0</v>
      </c>
      <c r="O18" s="111"/>
      <c r="P18" s="53"/>
    </row>
    <row r="19" spans="1:16" ht="13.5" thickBot="1">
      <c r="A19" s="53"/>
      <c r="B19" s="118"/>
      <c r="C19" s="110"/>
      <c r="D19" s="110"/>
      <c r="E19" s="127"/>
      <c r="F19" s="173" t="s">
        <v>421</v>
      </c>
      <c r="G19" s="290"/>
      <c r="H19" s="153"/>
      <c r="I19" s="153"/>
      <c r="J19" s="153"/>
      <c r="K19" s="218"/>
      <c r="L19" s="218"/>
      <c r="M19" s="176">
        <f>SUM(M6:M10,M13:M18)</f>
        <v>869.0836910449568</v>
      </c>
      <c r="N19" s="221">
        <f>SUM(N20:N27,N6:N10)</f>
        <v>1696.0969417711617</v>
      </c>
      <c r="O19" s="111"/>
      <c r="P19" s="53"/>
    </row>
    <row r="20" spans="1:16" s="342" customFormat="1" ht="16.5" thickBot="1">
      <c r="A20" s="335"/>
      <c r="B20" s="336"/>
      <c r="C20" s="337"/>
      <c r="D20" s="337"/>
      <c r="E20" s="347" t="str">
        <f>IF(E16="No Attachment","","**Refer to Attachment Compatibility")</f>
        <v>**Refer to Attachment Compatibility</v>
      </c>
      <c r="F20" s="337"/>
      <c r="G20" s="337"/>
      <c r="H20" s="343"/>
      <c r="I20" s="343"/>
      <c r="J20" s="343"/>
      <c r="K20" s="344"/>
      <c r="L20" s="345"/>
      <c r="M20" s="337"/>
      <c r="N20" s="337"/>
      <c r="O20" s="341"/>
      <c r="P20" s="335"/>
    </row>
    <row r="21" spans="1:16" ht="13.5" thickBot="1">
      <c r="A21" s="53"/>
      <c r="B21" s="118"/>
      <c r="C21" s="413" t="s">
        <v>113</v>
      </c>
      <c r="D21" s="414"/>
      <c r="E21" s="190" t="s">
        <v>116</v>
      </c>
      <c r="F21" s="294"/>
      <c r="G21" s="295"/>
      <c r="I21">
        <f>VLOOKUP(E21,Tires!S2:T5,2,FALSE)</f>
        <v>0</v>
      </c>
      <c r="J21" t="str">
        <f>VLOOKUP(E9,Tires!S18:W103,5,FALSE)</f>
        <v>NA</v>
      </c>
      <c r="K21" s="215">
        <f>IF(J21="NA",0,J21*I21)</f>
        <v>0</v>
      </c>
      <c r="L21" s="223">
        <f>L9</f>
        <v>68</v>
      </c>
      <c r="M21" s="114">
        <f>K21</f>
        <v>0</v>
      </c>
      <c r="N21" s="115">
        <v>0</v>
      </c>
      <c r="O21" s="111"/>
      <c r="P21" s="53"/>
    </row>
    <row r="22" spans="1:16" ht="13.5" thickBot="1">
      <c r="A22" s="53"/>
      <c r="B22" s="118"/>
      <c r="C22" s="413" t="s">
        <v>114</v>
      </c>
      <c r="D22" s="414"/>
      <c r="E22" s="190" t="s">
        <v>116</v>
      </c>
      <c r="F22" s="294" t="str">
        <f>IF(J22="NA","LIQUID BALLAST NOT RECOMMENDED","")</f>
        <v>LIQUID BALLAST NOT RECOMMENDED</v>
      </c>
      <c r="G22" s="107"/>
      <c r="I22">
        <f>VLOOKUP(E22,Tires!S2:T5,2,FALSE)</f>
        <v>0</v>
      </c>
      <c r="J22" t="str">
        <f>VLOOKUP(E10,Tires!S18:W48,5,FALSE)</f>
        <v>NA</v>
      </c>
      <c r="K22" s="215">
        <f>IF(J22="NA",0,J22*I22)</f>
        <v>0</v>
      </c>
      <c r="L22" s="224">
        <v>0</v>
      </c>
      <c r="M22" s="114">
        <v>0</v>
      </c>
      <c r="N22" s="115">
        <f>K22</f>
        <v>0</v>
      </c>
      <c r="O22" s="111"/>
      <c r="P22" s="53"/>
    </row>
    <row r="23" spans="1:16" ht="13.5" thickBot="1">
      <c r="A23" s="53"/>
      <c r="B23" s="118"/>
      <c r="C23" s="110"/>
      <c r="D23" s="110"/>
      <c r="E23" s="105"/>
      <c r="F23" s="110"/>
      <c r="G23" s="110"/>
      <c r="H23" s="25"/>
      <c r="I23" s="25"/>
      <c r="J23" s="25"/>
      <c r="K23" s="217"/>
      <c r="L23" s="217"/>
      <c r="M23" s="130"/>
      <c r="N23" s="130"/>
      <c r="O23" s="111"/>
      <c r="P23" s="53"/>
    </row>
    <row r="24" spans="1:16" ht="13.5" thickBot="1">
      <c r="A24" s="53"/>
      <c r="B24" s="118"/>
      <c r="C24" s="413" t="s">
        <v>115</v>
      </c>
      <c r="D24" s="414"/>
      <c r="E24" s="190" t="s">
        <v>239</v>
      </c>
      <c r="F24" s="112"/>
      <c r="G24" s="113"/>
      <c r="H24" s="25">
        <f>VLOOKUP(E24,Weights!A5:D100,4,FALSE)</f>
        <v>0</v>
      </c>
      <c r="I24" s="158">
        <f>VLOOKUP(E6,'Tractor Spec'!A2:K19,11,FALSE)</f>
        <v>87.25</v>
      </c>
      <c r="J24" s="25">
        <f>VLOOKUP(E24,Weights!A5:D100,2,FALSE)</f>
        <v>0</v>
      </c>
      <c r="K24" s="217">
        <f>VLOOKUP(E24,Weights!A5:D100,3,FALSE)</f>
        <v>0</v>
      </c>
      <c r="L24" s="217">
        <f>J24+I24</f>
        <v>87.25</v>
      </c>
      <c r="M24" s="115">
        <f>K24*(L24/L9)</f>
        <v>0</v>
      </c>
      <c r="N24" s="115">
        <f>K24-M24</f>
        <v>0</v>
      </c>
      <c r="O24" s="111"/>
      <c r="P24" s="53"/>
    </row>
    <row r="25" spans="1:16" ht="13.5" thickBot="1">
      <c r="A25" s="53"/>
      <c r="B25" s="118"/>
      <c r="C25" s="413" t="s">
        <v>343</v>
      </c>
      <c r="D25" s="415"/>
      <c r="E25" s="190" t="s">
        <v>345</v>
      </c>
      <c r="F25" s="116"/>
      <c r="G25" s="117"/>
      <c r="H25" s="25"/>
      <c r="I25" s="25"/>
      <c r="J25" s="25"/>
      <c r="K25" s="217"/>
      <c r="L25" s="217"/>
      <c r="M25" s="130"/>
      <c r="N25" s="130"/>
      <c r="O25" s="111"/>
      <c r="P25" s="53"/>
    </row>
    <row r="26" spans="1:16" ht="13.5" thickBot="1">
      <c r="A26" s="53"/>
      <c r="B26" s="118"/>
      <c r="C26" s="413" t="s">
        <v>296</v>
      </c>
      <c r="D26" s="414"/>
      <c r="E26" s="190">
        <v>0</v>
      </c>
      <c r="F26" s="106"/>
      <c r="G26" s="109"/>
      <c r="H26" s="25">
        <f>VLOOKUP(E25,Weights!A9:F10,6,FALSE)</f>
        <v>4.52755905511811</v>
      </c>
      <c r="I26" s="25">
        <f>VLOOKUP(E25,Weights!A9:F10,5,FALSE)</f>
        <v>70</v>
      </c>
      <c r="J26" s="25"/>
      <c r="K26" s="217">
        <f>I26*E26</f>
        <v>0</v>
      </c>
      <c r="L26" s="217">
        <f>I24+H24+H26</f>
        <v>91.7775590551181</v>
      </c>
      <c r="M26" s="115">
        <f>K26*(L26/L9)</f>
        <v>0</v>
      </c>
      <c r="N26" s="115">
        <f>K26-M26</f>
        <v>0</v>
      </c>
      <c r="O26" s="111"/>
      <c r="P26" s="53"/>
    </row>
    <row r="27" spans="1:16" ht="13.5" thickBot="1">
      <c r="A27" s="53"/>
      <c r="B27" s="118"/>
      <c r="C27" s="413" t="s">
        <v>249</v>
      </c>
      <c r="D27" s="414"/>
      <c r="E27" s="190" t="s">
        <v>242</v>
      </c>
      <c r="F27" s="106"/>
      <c r="G27" s="109"/>
      <c r="H27" s="25"/>
      <c r="I27" s="25"/>
      <c r="J27" s="25"/>
      <c r="K27" s="217">
        <f>VLOOKUP(E27,Weights!A59:C65,3,FALSE)</f>
        <v>0</v>
      </c>
      <c r="L27" s="217">
        <v>0</v>
      </c>
      <c r="M27" s="115">
        <v>0</v>
      </c>
      <c r="N27" s="114">
        <f>K27</f>
        <v>0</v>
      </c>
      <c r="O27" s="111"/>
      <c r="P27" s="53"/>
    </row>
    <row r="28" spans="1:16" ht="13.5" thickBot="1">
      <c r="A28" s="53"/>
      <c r="B28" s="118"/>
      <c r="C28" s="110"/>
      <c r="D28" s="110"/>
      <c r="E28" s="105"/>
      <c r="F28" s="173" t="s">
        <v>361</v>
      </c>
      <c r="G28" s="174"/>
      <c r="H28" s="25"/>
      <c r="I28" s="25"/>
      <c r="J28" s="25"/>
      <c r="K28" s="217"/>
      <c r="L28" s="217"/>
      <c r="M28" s="125">
        <f>IF(SUM(M24:M27,M13:M17)&gt;3190,("OVERLOAD"),IF(SUM(M6:M9,M21:M27,M12:M17)&lt;0,("BALLAST"),((SUM(M6:M9,M21:M27,M12:M17)))))</f>
        <v>869.0836910449568</v>
      </c>
      <c r="N28" s="125">
        <f>IF(SUM(N7,N24:N27,N12:N17)&gt;4000,("OVERLOAD"),IF(SUM(N6:N10,N20:N27,N12:N17)&lt;0,("BALLAST"),IF(M28="BALLAST",("-"),SUM(N6:N10,N21:N27,N13:N18))))</f>
        <v>2816.916308955043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10"/>
      <c r="G29" s="110"/>
      <c r="H29" s="25"/>
      <c r="I29" s="154"/>
      <c r="J29" s="25"/>
      <c r="K29" s="219"/>
      <c r="L29" s="219"/>
      <c r="M29" s="110"/>
      <c r="N29" s="110"/>
      <c r="O29" s="111"/>
      <c r="P29" s="53"/>
    </row>
    <row r="30" spans="1:16" ht="13.5" thickBot="1">
      <c r="A30" s="53"/>
      <c r="B30" s="118"/>
      <c r="C30" s="110"/>
      <c r="D30" s="110"/>
      <c r="E30" s="127"/>
      <c r="F30" s="73" t="s">
        <v>362</v>
      </c>
      <c r="G30" s="110"/>
      <c r="H30" s="25"/>
      <c r="I30" s="25"/>
      <c r="J30" s="25"/>
      <c r="K30" s="217"/>
      <c r="L30" s="217"/>
      <c r="M30" s="73" t="s">
        <v>126</v>
      </c>
      <c r="N30" s="73" t="s">
        <v>1</v>
      </c>
      <c r="O30" s="111"/>
      <c r="P30" s="53"/>
    </row>
    <row r="31" spans="1:16" ht="13.5" thickBot="1">
      <c r="A31" s="53"/>
      <c r="B31" s="118"/>
      <c r="C31" s="110"/>
      <c r="D31" s="110"/>
      <c r="E31" s="127"/>
      <c r="F31" s="125">
        <f>IF(M31="-",("-"),IF(N31="-",("-"),((SUM(M28:N28)))))</f>
        <v>3686</v>
      </c>
      <c r="G31" s="110"/>
      <c r="H31" s="25"/>
      <c r="I31" s="25"/>
      <c r="J31" s="25"/>
      <c r="K31" s="217"/>
      <c r="L31" s="217"/>
      <c r="M31" s="126">
        <f>IF(M28="OVERLOAD",("-"),IF(N28="OVERLOAD",("-"),IF(M28="BALLAST",("-"),IF(N28="BALLAST",("-"),IF(M28/SUM(M28:N28)&lt;0,("-"),IF(M28/SUM(M28:N28)&gt;1,("-"),((M28/SUM(M28:N28)))))))))</f>
        <v>0.23577962318094325</v>
      </c>
      <c r="N31" s="126">
        <f>IF(M28="OVERLOAD",("-"),IF(N28="OVERLOAD",("-"),IF(M28="BALLAST",("-"),IF(N28="BALLAST",("-"),IF(N28/SUM(M28:N28)&lt;0,("-"),IF(N28/SUM(M28:N28)&gt;1,("-"),((N28/SUM(M28:N28)))))))))</f>
        <v>0.7642203768190566</v>
      </c>
      <c r="O31" s="111"/>
      <c r="P31" s="53"/>
    </row>
    <row r="32" spans="1:16" ht="13.5" thickBot="1">
      <c r="A32" s="53"/>
      <c r="B32" s="119"/>
      <c r="C32" s="120"/>
      <c r="D32" s="120"/>
      <c r="E32" s="128"/>
      <c r="F32" s="120"/>
      <c r="G32" s="120"/>
      <c r="H32" s="25"/>
      <c r="I32" s="25"/>
      <c r="J32" s="25"/>
      <c r="K32" s="220"/>
      <c r="L32" s="220"/>
      <c r="M32" s="350" t="str">
        <f>IF(M31&lt;0.2,("FRONT BALLAST RECOMMENDED"),IF(N31&lt;0.5,("REAR BALLAST RECOMMENDED")," "))</f>
        <v> </v>
      </c>
      <c r="N32" s="120"/>
      <c r="O32" s="131"/>
      <c r="P32" s="53"/>
    </row>
    <row r="33" spans="1:16" ht="13.5" thickBot="1">
      <c r="A33" s="53"/>
      <c r="B33" s="53"/>
      <c r="C33" s="53"/>
      <c r="D33" s="53"/>
      <c r="E33" s="108"/>
      <c r="F33" s="53"/>
      <c r="G33" s="53"/>
      <c r="M33" s="53"/>
      <c r="N33" s="53"/>
      <c r="O33" s="53"/>
      <c r="P33" s="53"/>
    </row>
    <row r="34" spans="1:16" ht="13.5" thickBot="1">
      <c r="A34" s="53"/>
      <c r="B34" s="53"/>
      <c r="C34" s="279" t="s">
        <v>259</v>
      </c>
      <c r="D34" s="53"/>
      <c r="E34" s="171"/>
      <c r="F34" s="179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448</v>
      </c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4.5" customHeight="1" thickBot="1">
      <c r="A37" s="53"/>
      <c r="B37" s="53"/>
      <c r="C37" s="172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3.5" thickBot="1">
      <c r="A38" s="53"/>
      <c r="B38" s="53"/>
      <c r="C38" s="279" t="s">
        <v>274</v>
      </c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2.75">
      <c r="A39" s="53"/>
      <c r="B39" s="53"/>
      <c r="C39" s="170"/>
      <c r="D39" s="53"/>
      <c r="E39" s="171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46.25" customHeight="1">
      <c r="A40" s="53"/>
      <c r="B40" s="53"/>
      <c r="C40" s="53"/>
      <c r="D40" s="53"/>
      <c r="E40" s="171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</sheetData>
  <sheetProtection selectLockedCells="1"/>
  <mergeCells count="16">
    <mergeCell ref="C22:D22"/>
    <mergeCell ref="C27:D27"/>
    <mergeCell ref="C26:D26"/>
    <mergeCell ref="C13:D13"/>
    <mergeCell ref="C18:D18"/>
    <mergeCell ref="C25:D25"/>
    <mergeCell ref="C16:D16"/>
    <mergeCell ref="C24:D24"/>
    <mergeCell ref="C15:D15"/>
    <mergeCell ref="C17:D17"/>
    <mergeCell ref="C6:D6"/>
    <mergeCell ref="C9:D9"/>
    <mergeCell ref="C10:D10"/>
    <mergeCell ref="C21:D21"/>
    <mergeCell ref="C8:D8"/>
    <mergeCell ref="C7:D7"/>
  </mergeCells>
  <conditionalFormatting sqref="M28:N28">
    <cfRule type="cellIs" priority="1" dxfId="9" operator="equal" stopIfTrue="1">
      <formula>"OVERLOAD"</formula>
    </cfRule>
  </conditionalFormatting>
  <dataValidations count="14">
    <dataValidation type="list" allowBlank="1" showInputMessage="1" showErrorMessage="1" sqref="E13">
      <formula1>LOADER3X20</formula1>
    </dataValidation>
    <dataValidation type="list" allowBlank="1" showInputMessage="1" showErrorMessage="1" sqref="E15">
      <formula1>IMATCH</formula1>
    </dataValidation>
    <dataValidation type="list" allowBlank="1" showInputMessage="1" showErrorMessage="1" sqref="E16 E18">
      <formula1>ATTACHMENTSREAR</formula1>
    </dataValidation>
    <dataValidation type="list" allowBlank="1" showInputMessage="1" showErrorMessage="1" sqref="E17">
      <formula1>ATTACHMENTSMID</formula1>
    </dataValidation>
    <dataValidation type="list" allowBlank="1" showInputMessage="1" showErrorMessage="1" sqref="E27">
      <formula1>WEIGHTREAR4005</formula1>
    </dataValidation>
    <dataValidation type="list" allowBlank="1" showInputMessage="1" showErrorMessage="1" sqref="E26">
      <formula1>WEIGHTQTY3E</formula1>
    </dataValidation>
    <dataValidation type="list" allowBlank="1" showInputMessage="1" showErrorMessage="1" sqref="E25">
      <formula1>WEIGHTS</formula1>
    </dataValidation>
    <dataValidation type="list" allowBlank="1" showInputMessage="1" showErrorMessage="1" sqref="E24">
      <formula1>WEIGHTBRACKET3X20</formula1>
    </dataValidation>
    <dataValidation type="list" allowBlank="1" showInputMessage="1" showErrorMessage="1" sqref="E22">
      <formula1>TIREFLUID</formula1>
    </dataValidation>
    <dataValidation type="list" allowBlank="1" showInputMessage="1" showErrorMessage="1" sqref="E9">
      <formula1>FRONTTIRES3X20</formula1>
    </dataValidation>
    <dataValidation type="list" allowBlank="1" showInputMessage="1" showErrorMessage="1" sqref="E10">
      <formula1>REARTIRES3X20</formula1>
    </dataValidation>
    <dataValidation type="list" allowBlank="1" showInputMessage="1" showErrorMessage="1" sqref="E6">
      <formula1>X20_3000</formula1>
    </dataValidation>
    <dataValidation type="list" allowBlank="1" showInputMessage="1" showErrorMessage="1" sqref="E8">
      <formula1>CAB3X20</formula1>
    </dataValidation>
    <dataValidation type="list" allowBlank="1" showInputMessage="1" showErrorMessage="1" sqref="E21">
      <formula1>TIREFLUIDFRONT</formula1>
    </dataValidation>
  </dataValidations>
  <hyperlinks>
    <hyperlink ref="C38" location="'Cut Ballast Calculator Cover'!A1" display="Back "/>
    <hyperlink ref="C34" location="Attachment!A1" display="Attachment Compatibility"/>
    <hyperlink ref="C36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P11" sqref="P11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312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 t="s">
        <v>130</v>
      </c>
      <c r="F6" s="106"/>
      <c r="G6" s="107"/>
      <c r="K6" s="214">
        <f>VLOOKUP(E6,'Tractor Spec'!A2:K19,3,FALSE)</f>
        <v>2359</v>
      </c>
      <c r="L6" s="222">
        <f>VLOOKUP(E6,'Tractor Spec'!A2:K19,7,FALSE)</f>
        <v>28.477108944467997</v>
      </c>
      <c r="M6" s="114">
        <f>K6*(L6/L8)</f>
        <v>975</v>
      </c>
      <c r="N6" s="115">
        <f>K6-M6</f>
        <v>1384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10</v>
      </c>
      <c r="M7" s="114">
        <f>K7*(L7/L6)</f>
        <v>66.72025603810799</v>
      </c>
      <c r="N7" s="115">
        <f>K7-M7</f>
        <v>123.27974396189201</v>
      </c>
      <c r="O7" s="111"/>
      <c r="P7" s="53"/>
    </row>
    <row r="8" spans="1:16" ht="13.5" thickBot="1">
      <c r="A8" s="53"/>
      <c r="B8" s="118"/>
      <c r="C8" s="413" t="s">
        <v>111</v>
      </c>
      <c r="D8" s="414"/>
      <c r="E8" s="190" t="s">
        <v>97</v>
      </c>
      <c r="F8" s="106"/>
      <c r="G8" s="107"/>
      <c r="J8" s="92">
        <f>VLOOKUP(E8,Tires!S18:V73,3,FALSE)</f>
        <v>55.00000000000001</v>
      </c>
      <c r="K8" s="215">
        <f>J8*2</f>
        <v>110.00000000000001</v>
      </c>
      <c r="L8" s="223">
        <f>VLOOKUP(E6,'Tractor Spec'!A2:K19,6,FALSE)</f>
        <v>68.9</v>
      </c>
      <c r="M8" s="114">
        <f>K8</f>
        <v>110.00000000000001</v>
      </c>
      <c r="N8" s="115">
        <v>0</v>
      </c>
      <c r="O8" s="111"/>
      <c r="P8" s="53"/>
    </row>
    <row r="9" spans="1:16" ht="13.5" thickBot="1">
      <c r="A9" s="53"/>
      <c r="B9" s="118"/>
      <c r="C9" s="413" t="s">
        <v>112</v>
      </c>
      <c r="D9" s="414"/>
      <c r="E9" s="190" t="s">
        <v>94</v>
      </c>
      <c r="F9" s="106"/>
      <c r="G9" s="107"/>
      <c r="J9" s="92">
        <f>VLOOKUP(E9,Tires!S18:V74,3,FALSE)</f>
        <v>198.00000000000003</v>
      </c>
      <c r="K9" s="215">
        <f>J9*2</f>
        <v>396.00000000000006</v>
      </c>
      <c r="L9" s="224">
        <v>0</v>
      </c>
      <c r="M9" s="114">
        <v>0</v>
      </c>
      <c r="N9" s="115">
        <f>K9</f>
        <v>396.00000000000006</v>
      </c>
      <c r="O9" s="111"/>
      <c r="P9" s="53"/>
    </row>
    <row r="10" spans="1:16" ht="13.5" thickBot="1">
      <c r="A10" s="53"/>
      <c r="B10" s="118"/>
      <c r="C10" s="103"/>
      <c r="D10" s="104"/>
      <c r="E10" s="105"/>
      <c r="F10" s="173" t="s">
        <v>456</v>
      </c>
      <c r="G10" s="174"/>
      <c r="H10" s="175" t="s">
        <v>134</v>
      </c>
      <c r="I10" s="287">
        <f>SUM(K6:K9)</f>
        <v>3055</v>
      </c>
      <c r="J10" s="175">
        <f>(SUMPRODUCT(K6:K9,L6:L9))/I10</f>
        <v>25.09214402618658</v>
      </c>
      <c r="K10" s="216"/>
      <c r="L10" s="216"/>
      <c r="M10" s="221">
        <f>SUM(M5:M9)</f>
        <v>1151.720256038108</v>
      </c>
      <c r="N10" s="176">
        <f>SUM(N5:N9)</f>
        <v>1903.279743961892</v>
      </c>
      <c r="O10" s="111"/>
      <c r="P10" s="53"/>
    </row>
    <row r="11" spans="1:16" ht="13.5" thickBot="1">
      <c r="A11" s="53"/>
      <c r="B11" s="118"/>
      <c r="C11" s="110"/>
      <c r="D11" s="110"/>
      <c r="E11" s="105"/>
      <c r="F11" s="110"/>
      <c r="G11" s="110"/>
      <c r="H11" s="25"/>
      <c r="I11" s="25"/>
      <c r="J11" s="25"/>
      <c r="K11" s="217"/>
      <c r="L11" s="217"/>
      <c r="M11" s="130"/>
      <c r="N11" s="130"/>
      <c r="O11" s="111"/>
      <c r="P11" s="53"/>
    </row>
    <row r="12" spans="1:16" ht="13.5" customHeight="1" thickBot="1">
      <c r="A12" s="53"/>
      <c r="B12" s="118"/>
      <c r="C12" s="413" t="s">
        <v>425</v>
      </c>
      <c r="D12" s="414"/>
      <c r="E12" s="191" t="s">
        <v>138</v>
      </c>
      <c r="F12" s="320"/>
      <c r="G12" s="109"/>
      <c r="H12" s="25"/>
      <c r="I12" s="25"/>
      <c r="J12" s="25"/>
      <c r="K12" s="217">
        <f>VLOOKUP(E12,Attachment!A146:C163,2,FALSE)</f>
        <v>0</v>
      </c>
      <c r="L12" s="217">
        <f>VLOOKUP(E12,Attachment!A146:C163,3,FALSE)</f>
        <v>0</v>
      </c>
      <c r="M12" s="115">
        <f>K12*(L12/L8)</f>
        <v>0</v>
      </c>
      <c r="N12" s="115">
        <f>K12-M12</f>
        <v>0</v>
      </c>
      <c r="O12" s="111"/>
      <c r="P12" s="53"/>
    </row>
    <row r="13" spans="1:16" s="342" customFormat="1" ht="13.5" customHeight="1" thickBot="1">
      <c r="A13" s="335"/>
      <c r="B13" s="336"/>
      <c r="C13" s="337"/>
      <c r="D13" s="337"/>
      <c r="E13" s="347" t="str">
        <f>IF(E12="No Loader"," ","**Refer to Loader Operator's Manual for Proper Ballast Recommendation")</f>
        <v> </v>
      </c>
      <c r="F13" s="337"/>
      <c r="G13" s="337"/>
      <c r="H13" s="338"/>
      <c r="I13" s="338"/>
      <c r="J13" s="338">
        <f>VLOOKUP(E14,Attachment!A3:D4,4,FALSE)</f>
        <v>-4.059055118110236</v>
      </c>
      <c r="K13" s="339"/>
      <c r="L13" s="339"/>
      <c r="M13" s="340"/>
      <c r="N13" s="340"/>
      <c r="O13" s="341"/>
      <c r="P13" s="335"/>
    </row>
    <row r="14" spans="1:16" ht="13.5" thickBot="1">
      <c r="A14" s="53"/>
      <c r="B14" s="118"/>
      <c r="C14" s="413" t="s">
        <v>139</v>
      </c>
      <c r="D14" s="415"/>
      <c r="E14" s="191" t="s">
        <v>224</v>
      </c>
      <c r="F14" s="106"/>
      <c r="G14" s="109"/>
      <c r="H14" s="25"/>
      <c r="I14" s="156">
        <f>VLOOKUP(E6,'Tractor Spec'!A1:J30,10,FALSE)</f>
        <v>-35.25</v>
      </c>
      <c r="J14" s="25">
        <f>VLOOKUP('4005'!E14,Attachment!A3:D4,2,FALSE)</f>
        <v>-1.575</v>
      </c>
      <c r="K14" s="217">
        <f>VLOOKUP('4005'!E14,Attachment!A3:D4,3,FALSE)</f>
        <v>65</v>
      </c>
      <c r="L14" s="216">
        <f>J14+I14</f>
        <v>-36.825</v>
      </c>
      <c r="M14" s="115">
        <f>K14*(L14/L8)</f>
        <v>-34.74056603773585</v>
      </c>
      <c r="N14" s="115">
        <f>K14-M14</f>
        <v>99.74056603773585</v>
      </c>
      <c r="O14" s="111"/>
      <c r="P14" s="53"/>
    </row>
    <row r="15" spans="1:16" ht="13.5" thickBot="1">
      <c r="A15" s="53"/>
      <c r="B15" s="118"/>
      <c r="C15" s="413" t="s">
        <v>364</v>
      </c>
      <c r="D15" s="415"/>
      <c r="E15" s="191" t="s">
        <v>458</v>
      </c>
      <c r="F15" s="320"/>
      <c r="G15" s="109"/>
      <c r="H15" s="25"/>
      <c r="I15" s="25"/>
      <c r="J15" s="25">
        <f>VLOOKUP(E15,Attachment!A11:C119,3,FALSE)</f>
        <v>-24</v>
      </c>
      <c r="K15" s="217">
        <f>VLOOKUP(E15,Attachment!A12:C119,2,FALSE)</f>
        <v>327.8688524590164</v>
      </c>
      <c r="L15" s="216">
        <f>I14+J15+J13</f>
        <v>-63.30905511811024</v>
      </c>
      <c r="M15" s="115">
        <f>K15*(L15/L8)</f>
        <v>-301.26367564353296</v>
      </c>
      <c r="N15" s="115">
        <f>K15-M15</f>
        <v>629.1325281025494</v>
      </c>
      <c r="O15" s="111"/>
      <c r="P15" s="53"/>
    </row>
    <row r="16" spans="1:16" ht="13.5" customHeight="1" hidden="1" thickBot="1">
      <c r="A16" s="53"/>
      <c r="B16" s="118"/>
      <c r="C16" s="413" t="s">
        <v>279</v>
      </c>
      <c r="D16" s="415"/>
      <c r="E16" s="191" t="s">
        <v>234</v>
      </c>
      <c r="F16" s="122"/>
      <c r="G16" s="123"/>
      <c r="H16" s="25"/>
      <c r="I16" s="25"/>
      <c r="J16" s="25"/>
      <c r="K16" s="217">
        <f>VLOOKUP(E16,Attachment!A133:C142,2,FALSE)</f>
        <v>0</v>
      </c>
      <c r="L16" s="216">
        <f>VLOOKUP(E16,Attachment!A133:C142,3,FALSE)</f>
        <v>0</v>
      </c>
      <c r="M16" s="115">
        <f>K16*(L16/L8)</f>
        <v>0</v>
      </c>
      <c r="N16" s="115">
        <f>K16-M16</f>
        <v>0</v>
      </c>
      <c r="O16" s="111"/>
      <c r="P16" s="53"/>
    </row>
    <row r="17" spans="1:16" ht="13.5" customHeight="1" hidden="1" thickBot="1">
      <c r="A17" s="53"/>
      <c r="B17" s="118"/>
      <c r="C17" s="413" t="s">
        <v>280</v>
      </c>
      <c r="D17" s="415"/>
      <c r="E17" s="191" t="s">
        <v>234</v>
      </c>
      <c r="F17" s="122"/>
      <c r="G17" s="123"/>
      <c r="H17" s="25"/>
      <c r="I17" s="25"/>
      <c r="J17" s="25"/>
      <c r="K17" s="217">
        <f>VLOOKUP(E17,Attachment!A83:C121,2,FALSE)</f>
        <v>0</v>
      </c>
      <c r="L17" s="216">
        <f>VLOOKUP(E17,Attachment!A133:C142,3,FALSE)</f>
        <v>0</v>
      </c>
      <c r="M17" s="115">
        <f>K17*(L17/L20)</f>
        <v>0</v>
      </c>
      <c r="N17" s="115">
        <f>K17-M17</f>
        <v>0</v>
      </c>
      <c r="O17" s="111"/>
      <c r="P17" s="53"/>
    </row>
    <row r="18" spans="1:16" ht="13.5" thickBot="1">
      <c r="A18" s="53"/>
      <c r="B18" s="118"/>
      <c r="C18" s="110"/>
      <c r="D18" s="110"/>
      <c r="E18" s="127"/>
      <c r="F18" s="173" t="s">
        <v>421</v>
      </c>
      <c r="G18" s="290"/>
      <c r="H18" s="153"/>
      <c r="I18" s="153"/>
      <c r="J18" s="153"/>
      <c r="K18" s="218"/>
      <c r="L18" s="218"/>
      <c r="M18" s="176">
        <f>SUM(M6:M9,M11:M17)</f>
        <v>815.7160143568392</v>
      </c>
      <c r="N18" s="176">
        <f>SUM(N6:N9,N11:N17)</f>
        <v>2632.152838102177</v>
      </c>
      <c r="O18" s="111"/>
      <c r="P18" s="53"/>
    </row>
    <row r="19" spans="1:16" s="342" customFormat="1" ht="16.5" thickBot="1">
      <c r="A19" s="335"/>
      <c r="B19" s="336"/>
      <c r="C19" s="337"/>
      <c r="D19" s="337"/>
      <c r="E19" s="347" t="str">
        <f>IF(E15="No Attachment","","**Refer to Attachment Compatibility")</f>
        <v>**Refer to Attachment Compatibility</v>
      </c>
      <c r="F19" s="337"/>
      <c r="G19" s="337"/>
      <c r="H19" s="343"/>
      <c r="I19" s="343"/>
      <c r="J19" s="343"/>
      <c r="K19" s="344"/>
      <c r="L19" s="345"/>
      <c r="M19" s="337"/>
      <c r="N19" s="337"/>
      <c r="O19" s="341"/>
      <c r="P19" s="335"/>
    </row>
    <row r="20" spans="1:16" ht="13.5" thickBot="1">
      <c r="A20" s="53"/>
      <c r="B20" s="118"/>
      <c r="C20" s="413" t="s">
        <v>113</v>
      </c>
      <c r="D20" s="414"/>
      <c r="E20" s="190" t="s">
        <v>116</v>
      </c>
      <c r="F20" s="106"/>
      <c r="G20" s="107"/>
      <c r="I20">
        <f>VLOOKUP(E20,Tires!S2:T5,2,FALSE)</f>
        <v>0</v>
      </c>
      <c r="J20">
        <f>VLOOKUP(E8,Tires!S18:W73,5,FALSE)</f>
        <v>9.6003</v>
      </c>
      <c r="K20" s="215">
        <f>IF(J20="NA",0,J20*I20)</f>
        <v>0</v>
      </c>
      <c r="L20" s="223">
        <f>L8</f>
        <v>68.9</v>
      </c>
      <c r="M20" s="114">
        <f>K20</f>
        <v>0</v>
      </c>
      <c r="N20" s="115">
        <v>0</v>
      </c>
      <c r="O20" s="111"/>
      <c r="P20" s="53"/>
    </row>
    <row r="21" spans="1:16" ht="13.5" thickBot="1">
      <c r="A21" s="53"/>
      <c r="B21" s="118"/>
      <c r="C21" s="413" t="s">
        <v>114</v>
      </c>
      <c r="D21" s="414"/>
      <c r="E21" s="190" t="s">
        <v>116</v>
      </c>
      <c r="F21" s="294">
        <f>IF(J21="NA","LIQUID BALLAST NOT RECOMMENDED","")</f>
      </c>
      <c r="G21" s="107"/>
      <c r="I21">
        <f>VLOOKUP(E21,Tires!S2:T5,2,FALSE)</f>
        <v>0</v>
      </c>
      <c r="J21">
        <f>VLOOKUP(E9,Tires!S18:W74,5,FALSE)</f>
        <v>51.2016</v>
      </c>
      <c r="K21" s="215">
        <f>IF(J21="NA",0,J21*I21)</f>
        <v>0</v>
      </c>
      <c r="L21" s="224">
        <v>0</v>
      </c>
      <c r="M21" s="114">
        <v>0</v>
      </c>
      <c r="N21" s="115">
        <f>K21</f>
        <v>0</v>
      </c>
      <c r="O21" s="111"/>
      <c r="P21" s="53"/>
    </row>
    <row r="22" spans="1:16" ht="13.5" thickBot="1">
      <c r="A22" s="53"/>
      <c r="B22" s="118"/>
      <c r="C22" s="110"/>
      <c r="D22" s="110"/>
      <c r="E22" s="105"/>
      <c r="F22" s="110"/>
      <c r="G22" s="110"/>
      <c r="H22" s="25"/>
      <c r="I22" s="25"/>
      <c r="J22" s="25"/>
      <c r="K22" s="217"/>
      <c r="L22" s="217"/>
      <c r="M22" s="130"/>
      <c r="N22" s="130"/>
      <c r="O22" s="111"/>
      <c r="P22" s="53"/>
    </row>
    <row r="23" spans="1:16" ht="13.5" thickBot="1">
      <c r="A23" s="53"/>
      <c r="B23" s="118"/>
      <c r="C23" s="413" t="s">
        <v>115</v>
      </c>
      <c r="D23" s="414"/>
      <c r="E23" s="190" t="s">
        <v>319</v>
      </c>
      <c r="F23" s="112"/>
      <c r="G23" s="113"/>
      <c r="H23" s="25">
        <f>VLOOKUP(E23,Weights!A54:D55,4,FALSE)</f>
        <v>4</v>
      </c>
      <c r="I23" s="158">
        <f>VLOOKUP(E6,'Tractor Spec'!A2:K19,11,FALSE)</f>
        <v>82</v>
      </c>
      <c r="J23" s="25">
        <f>VLOOKUP(E23,Weights!A54:D55,2,FALSE)</f>
        <v>2</v>
      </c>
      <c r="K23" s="217">
        <f>VLOOKUP(E23,Weights!A54:D55,3,FALSE)</f>
        <v>23.4598</v>
      </c>
      <c r="L23" s="217">
        <f>J23+I23</f>
        <v>84</v>
      </c>
      <c r="M23" s="115">
        <f>K23*(L23/L8)</f>
        <v>28.60120754716981</v>
      </c>
      <c r="N23" s="121">
        <f>K23-M23</f>
        <v>-5.141407547169809</v>
      </c>
      <c r="O23" s="111"/>
      <c r="P23" s="53"/>
    </row>
    <row r="24" spans="1:16" ht="13.5" thickBot="1">
      <c r="A24" s="53"/>
      <c r="B24" s="118"/>
      <c r="C24" s="413" t="s">
        <v>296</v>
      </c>
      <c r="D24" s="414"/>
      <c r="E24" s="190">
        <v>2</v>
      </c>
      <c r="F24" s="106"/>
      <c r="G24" s="109"/>
      <c r="H24" s="25">
        <v>3</v>
      </c>
      <c r="I24" s="25"/>
      <c r="J24" s="25"/>
      <c r="K24" s="217">
        <f>VLOOKUP(E24,Weights!B8:C15,2,FALSE)</f>
        <v>84</v>
      </c>
      <c r="L24" s="217">
        <f>I23+H23+H24</f>
        <v>89</v>
      </c>
      <c r="M24" s="115">
        <f>K24*(L24/L8)</f>
        <v>108.50507982583454</v>
      </c>
      <c r="N24" s="115">
        <f>K24-M24</f>
        <v>-24.505079825834542</v>
      </c>
      <c r="O24" s="111"/>
      <c r="P24" s="53"/>
    </row>
    <row r="25" spans="1:16" ht="13.5" thickBot="1">
      <c r="A25" s="53"/>
      <c r="B25" s="118"/>
      <c r="C25" s="413" t="s">
        <v>249</v>
      </c>
      <c r="D25" s="414"/>
      <c r="E25" s="190" t="s">
        <v>242</v>
      </c>
      <c r="F25" s="106"/>
      <c r="G25" s="109"/>
      <c r="H25" s="25"/>
      <c r="I25" s="25"/>
      <c r="J25" s="25"/>
      <c r="K25" s="217">
        <f>VLOOKUP(E25,Weights!A59:C65,3,FALSE)</f>
        <v>0</v>
      </c>
      <c r="L25" s="217">
        <v>0</v>
      </c>
      <c r="M25" s="115">
        <v>0</v>
      </c>
      <c r="N25" s="114">
        <f>K25</f>
        <v>0</v>
      </c>
      <c r="O25" s="111"/>
      <c r="P25" s="53"/>
    </row>
    <row r="26" spans="1:16" ht="16.5" thickBot="1">
      <c r="A26" s="53"/>
      <c r="B26" s="118"/>
      <c r="C26" s="110"/>
      <c r="D26" s="110"/>
      <c r="E26" s="401"/>
      <c r="F26" s="173" t="s">
        <v>361</v>
      </c>
      <c r="G26" s="174"/>
      <c r="H26" s="25"/>
      <c r="I26" s="25"/>
      <c r="J26" s="25"/>
      <c r="K26" s="217"/>
      <c r="L26" s="217"/>
      <c r="M26" s="125">
        <f>IF(SUM(M23:M25,M12:M17)&gt;2006,("OVERLOAD"),IF(SUM(M6:M9,M20:M25,M12:M17)&lt;0,("BALLAST"),((SUM(M6:M9,M20:M25,M12:M17)))))</f>
        <v>952.8223017298437</v>
      </c>
      <c r="N26" s="125">
        <f>IF(SUM(N7,N23:N24,N12:N17)&gt;3224,("OVERLOAD"),IF(SUM(N6:N9,N19:N25,N12:N17)&lt;0,("BALLAST"),IF(M26="BALLAST",("-"),SUM(N6:N9,N19:N25,N12:N17))))</f>
        <v>2602.506350729173</v>
      </c>
      <c r="O26" s="111"/>
      <c r="P26" s="53"/>
    </row>
    <row r="27" spans="1:16" ht="13.5" thickBot="1">
      <c r="A27" s="53"/>
      <c r="B27" s="118"/>
      <c r="C27" s="110"/>
      <c r="D27" s="110"/>
      <c r="E27" s="127"/>
      <c r="F27" s="110"/>
      <c r="G27" s="110"/>
      <c r="H27" s="25"/>
      <c r="I27" s="154"/>
      <c r="J27" s="25"/>
      <c r="K27" s="219"/>
      <c r="L27" s="219"/>
      <c r="M27" s="110"/>
      <c r="N27" s="110"/>
      <c r="O27" s="111"/>
      <c r="P27" s="53"/>
    </row>
    <row r="28" spans="1:16" ht="13.5" thickBot="1">
      <c r="A28" s="53"/>
      <c r="B28" s="118"/>
      <c r="C28" s="110"/>
      <c r="D28" s="110"/>
      <c r="E28" s="127"/>
      <c r="F28" s="73" t="s">
        <v>362</v>
      </c>
      <c r="G28" s="110"/>
      <c r="H28" s="25"/>
      <c r="I28" s="25"/>
      <c r="J28" s="25"/>
      <c r="K28" s="217"/>
      <c r="L28" s="217"/>
      <c r="M28" s="73" t="s">
        <v>126</v>
      </c>
      <c r="N28" s="73" t="s">
        <v>1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25">
        <f>IF(M29="-",("-"),IF(N29="-",("-"),((SUM(M26:N26)))))</f>
        <v>3555.3286524590167</v>
      </c>
      <c r="G29" s="110"/>
      <c r="H29" s="25"/>
      <c r="I29" s="25"/>
      <c r="J29" s="25"/>
      <c r="K29" s="217"/>
      <c r="L29" s="217"/>
      <c r="M29" s="126">
        <f>IF(M26="OVERLOAD",("-"),IF(N26="OVERLOAD",("-"),IF(M26="BALLAST",("-"),IF(N26="BALLAST",("-"),IF(M26/SUM(M26:N26)&lt;0,("-"),IF(M26/SUM(M26:N26)&gt;1,("-"),((M26/SUM(M26:N26)))))))))</f>
        <v>0.26799837507872337</v>
      </c>
      <c r="N29" s="126">
        <f>IF(M26="OVERLOAD",("-"),IF(N26="OVERLOAD",("-"),IF(M26="BALLAST",("-"),IF(N26="BALLAST",("-"),IF(N26/SUM(M26:N26)&lt;0,("-"),IF(N26/SUM(M26:N26)&gt;1,("-"),((N26/SUM(M26:N26)))))))))</f>
        <v>0.7320016249212766</v>
      </c>
      <c r="O29" s="111"/>
      <c r="P29" s="53"/>
    </row>
    <row r="30" spans="1:16" ht="13.5" thickBot="1">
      <c r="A30" s="53"/>
      <c r="B30" s="119"/>
      <c r="C30" s="120"/>
      <c r="D30" s="120"/>
      <c r="E30" s="128"/>
      <c r="F30" s="120"/>
      <c r="G30" s="120"/>
      <c r="H30" s="25"/>
      <c r="I30" s="25"/>
      <c r="J30" s="25"/>
      <c r="K30" s="220"/>
      <c r="L30" s="220"/>
      <c r="M30" s="350" t="str">
        <f>IF(M29&lt;0.2,("FRONT BALLAST RECOMMENDED"),IF(N29&lt;0.5,("REAR BALLAST RECOMMENDED")," "))</f>
        <v> </v>
      </c>
      <c r="N30" s="120"/>
      <c r="O30" s="131"/>
      <c r="P30" s="53"/>
    </row>
    <row r="31" spans="1:16" ht="13.5" thickBot="1">
      <c r="A31" s="53"/>
      <c r="B31" s="53"/>
      <c r="C31" s="53"/>
      <c r="D31" s="53"/>
      <c r="E31" s="108"/>
      <c r="F31" s="53"/>
      <c r="G31" s="53"/>
      <c r="M31" s="53"/>
      <c r="N31" s="53"/>
      <c r="O31" s="53"/>
      <c r="P31" s="53"/>
    </row>
    <row r="32" spans="1:16" ht="13.5" thickBot="1">
      <c r="A32" s="53"/>
      <c r="B32" s="53"/>
      <c r="C32" s="279" t="s">
        <v>259</v>
      </c>
      <c r="D32" s="53"/>
      <c r="E32" s="171"/>
      <c r="F32" s="179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4.5" customHeight="1" thickBot="1">
      <c r="A33" s="53"/>
      <c r="B33" s="53"/>
      <c r="C33" s="172"/>
      <c r="D33" s="53"/>
      <c r="E33" s="17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3.5" thickBot="1">
      <c r="A34" s="53"/>
      <c r="B34" s="53"/>
      <c r="C34" s="279" t="s">
        <v>448</v>
      </c>
      <c r="D34" s="53"/>
      <c r="E34" s="17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274</v>
      </c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2.75">
      <c r="A37" s="53"/>
      <c r="B37" s="53"/>
      <c r="C37" s="170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46.25" customHeight="1">
      <c r="A38" s="53"/>
      <c r="B38" s="53"/>
      <c r="C38" s="53"/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sheetProtection selectLockedCells="1"/>
  <mergeCells count="14">
    <mergeCell ref="C25:D25"/>
    <mergeCell ref="C24:D24"/>
    <mergeCell ref="C12:D12"/>
    <mergeCell ref="C17:D17"/>
    <mergeCell ref="C15:D15"/>
    <mergeCell ref="C23:D23"/>
    <mergeCell ref="C14:D14"/>
    <mergeCell ref="C16:D16"/>
    <mergeCell ref="C6:D6"/>
    <mergeCell ref="C8:D8"/>
    <mergeCell ref="C9:D9"/>
    <mergeCell ref="C20:D20"/>
    <mergeCell ref="C7:D7"/>
    <mergeCell ref="C21:D21"/>
  </mergeCells>
  <conditionalFormatting sqref="M26:N26">
    <cfRule type="cellIs" priority="1" dxfId="9" operator="equal" stopIfTrue="1">
      <formula>"OVERLOAD"</formula>
    </cfRule>
  </conditionalFormatting>
  <dataValidations count="12">
    <dataValidation type="list" allowBlank="1" showInputMessage="1" showErrorMessage="1" sqref="E12">
      <formula1>LOADER4005</formula1>
    </dataValidation>
    <dataValidation type="list" allowBlank="1" showInputMessage="1" showErrorMessage="1" sqref="E14">
      <formula1>IMATCH</formula1>
    </dataValidation>
    <dataValidation type="list" allowBlank="1" showInputMessage="1" showErrorMessage="1" sqref="E15 E17">
      <formula1>ATTACHMENTSREAR</formula1>
    </dataValidation>
    <dataValidation type="list" allowBlank="1" showInputMessage="1" showErrorMessage="1" sqref="E16">
      <formula1>ATTACHMENTSMID</formula1>
    </dataValidation>
    <dataValidation type="list" allowBlank="1" showInputMessage="1" showErrorMessage="1" sqref="E25">
      <formula1>WEIGHTREAR4005</formula1>
    </dataValidation>
    <dataValidation type="list" allowBlank="1" showInputMessage="1" showErrorMessage="1" sqref="E24">
      <formula1>WEIGHTQTY3005</formula1>
    </dataValidation>
    <dataValidation type="list" allowBlank="1" showInputMessage="1" showErrorMessage="1" sqref="E23">
      <formula1>WEIGHTBRACKET4005</formula1>
    </dataValidation>
    <dataValidation type="list" allowBlank="1" showInputMessage="1" showErrorMessage="1" sqref="E21">
      <formula1>TIREFLUID</formula1>
    </dataValidation>
    <dataValidation type="list" allowBlank="1" showInputMessage="1" showErrorMessage="1" sqref="E8">
      <formula1>FRONTTIRES4005</formula1>
    </dataValidation>
    <dataValidation type="list" allowBlank="1" showInputMessage="1" showErrorMessage="1" sqref="E9">
      <formula1>REARTIRES4005</formula1>
    </dataValidation>
    <dataValidation type="list" allowBlank="1" showInputMessage="1" showErrorMessage="1" sqref="E6">
      <formula1>X_4005</formula1>
    </dataValidation>
    <dataValidation type="list" allowBlank="1" showInputMessage="1" showErrorMessage="1" sqref="E20">
      <formula1>TIREFLUIDFRONT</formula1>
    </dataValidation>
  </dataValidations>
  <hyperlinks>
    <hyperlink ref="C36" location="'Cut Ballast Calculator Cover'!A1" display="Back "/>
    <hyperlink ref="C32" location="Attachment!A1" display="Attachment Compatibility"/>
    <hyperlink ref="C34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M26" sqref="M26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5" max="15" width="15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482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>
        <v>4105</v>
      </c>
      <c r="F6" s="106"/>
      <c r="G6" s="107"/>
      <c r="K6" s="214">
        <f>VLOOKUP(E6,'Tractor Spec'!A2:K19,3,FALSE)</f>
        <v>2410.5</v>
      </c>
      <c r="L6" s="222">
        <f>VLOOKUP(E6,'Tractor Spec'!A2:K19,7,FALSE)</f>
        <v>33.76771707114707</v>
      </c>
      <c r="M6" s="114">
        <f>K6*(L6/L8)</f>
        <v>1181.3799999999999</v>
      </c>
      <c r="N6" s="115">
        <f>K6-M6</f>
        <v>1229.1200000000001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7.25</v>
      </c>
      <c r="M7" s="114">
        <f>K7*(L7/L6)</f>
        <v>40.79340030887102</v>
      </c>
      <c r="N7" s="115">
        <f>K7-M7</f>
        <v>149.206599691129</v>
      </c>
      <c r="O7" s="111"/>
      <c r="P7" s="53"/>
    </row>
    <row r="8" spans="1:16" ht="13.5" thickBot="1">
      <c r="A8" s="53"/>
      <c r="B8" s="118"/>
      <c r="C8" s="413" t="s">
        <v>111</v>
      </c>
      <c r="D8" s="414"/>
      <c r="E8" s="190" t="s">
        <v>102</v>
      </c>
      <c r="F8" s="106"/>
      <c r="G8" s="107"/>
      <c r="J8" s="92">
        <f>VLOOKUP(E8,Tires!S18:V73,3,FALSE)</f>
        <v>79.2</v>
      </c>
      <c r="K8" s="215">
        <f>J8*2</f>
        <v>158.4</v>
      </c>
      <c r="L8" s="223">
        <f>VLOOKUP(E6,'Tractor Spec'!A2:K19,6,FALSE)</f>
        <v>68.9</v>
      </c>
      <c r="M8" s="114">
        <f>K8</f>
        <v>158.4</v>
      </c>
      <c r="N8" s="115">
        <v>0</v>
      </c>
      <c r="O8" s="111"/>
      <c r="P8" s="53"/>
    </row>
    <row r="9" spans="1:16" ht="13.5" thickBot="1">
      <c r="A9" s="53"/>
      <c r="B9" s="118"/>
      <c r="C9" s="413" t="s">
        <v>112</v>
      </c>
      <c r="D9" s="414"/>
      <c r="E9" s="190" t="s">
        <v>99</v>
      </c>
      <c r="F9" s="106"/>
      <c r="G9" s="107"/>
      <c r="J9" s="92">
        <f>VLOOKUP(E9,Tires!S18:V74,3,FALSE)</f>
        <v>237.60000000000002</v>
      </c>
      <c r="K9" s="215">
        <f>J9*2</f>
        <v>475.20000000000005</v>
      </c>
      <c r="L9" s="224">
        <v>0</v>
      </c>
      <c r="M9" s="114">
        <v>0</v>
      </c>
      <c r="N9" s="115">
        <f>K9</f>
        <v>475.20000000000005</v>
      </c>
      <c r="O9" s="111"/>
      <c r="P9" s="53"/>
    </row>
    <row r="10" spans="1:16" ht="13.5" thickBot="1">
      <c r="A10" s="53"/>
      <c r="B10" s="118"/>
      <c r="C10" s="103"/>
      <c r="D10" s="104"/>
      <c r="E10" s="105"/>
      <c r="F10" s="173" t="s">
        <v>456</v>
      </c>
      <c r="G10" s="174"/>
      <c r="H10" s="175" t="s">
        <v>134</v>
      </c>
      <c r="I10" s="287">
        <f>SUM(K6:K9)</f>
        <v>3234.1000000000004</v>
      </c>
      <c r="J10" s="175">
        <f>(SUMPRODUCT(K6:K9,L6:L9))/I10</f>
        <v>28.96890696020531</v>
      </c>
      <c r="K10" s="216"/>
      <c r="L10" s="216"/>
      <c r="M10" s="221">
        <f>SUM(M5:M9)</f>
        <v>1380.573400308871</v>
      </c>
      <c r="N10" s="176">
        <f>SUM(N5:N9)</f>
        <v>1853.5265996911291</v>
      </c>
      <c r="O10" s="111"/>
      <c r="P10" s="53"/>
    </row>
    <row r="11" spans="1:16" ht="13.5" thickBot="1">
      <c r="A11" s="53"/>
      <c r="B11" s="118"/>
      <c r="C11" s="110"/>
      <c r="D11" s="110"/>
      <c r="E11" s="105"/>
      <c r="F11" s="110"/>
      <c r="G11" s="110"/>
      <c r="H11" s="25"/>
      <c r="I11" s="25"/>
      <c r="J11" s="25"/>
      <c r="K11" s="217"/>
      <c r="L11" s="217"/>
      <c r="M11" s="130"/>
      <c r="N11" s="130"/>
      <c r="O11" s="111"/>
      <c r="P11" s="53"/>
    </row>
    <row r="12" spans="1:16" ht="13.5" customHeight="1" thickBot="1">
      <c r="A12" s="53"/>
      <c r="B12" s="118"/>
      <c r="C12" s="413" t="s">
        <v>425</v>
      </c>
      <c r="D12" s="414"/>
      <c r="E12" s="191" t="s">
        <v>138</v>
      </c>
      <c r="F12" s="320"/>
      <c r="G12" s="109"/>
      <c r="H12" s="25"/>
      <c r="I12" s="25"/>
      <c r="J12" s="25"/>
      <c r="K12" s="217">
        <f>VLOOKUP(E12,Attachment!A146:C163,2,FALSE)</f>
        <v>0</v>
      </c>
      <c r="L12" s="217">
        <f>VLOOKUP(E12,Attachment!A146:C163,3,FALSE)</f>
        <v>0</v>
      </c>
      <c r="M12" s="115">
        <f>K12*(L12/L8)</f>
        <v>0</v>
      </c>
      <c r="N12" s="115">
        <f>K12-M12</f>
        <v>0</v>
      </c>
      <c r="O12" s="111"/>
      <c r="P12" s="53"/>
    </row>
    <row r="13" spans="1:16" s="342" customFormat="1" ht="13.5" customHeight="1" thickBot="1">
      <c r="A13" s="335"/>
      <c r="B13" s="336"/>
      <c r="C13" s="337"/>
      <c r="D13" s="337"/>
      <c r="E13" s="347" t="str">
        <f>IF(E12="No Loader"," ","**Refer to Loader Operator's Manual for Proper Ballast Recommendation")</f>
        <v> </v>
      </c>
      <c r="F13" s="337"/>
      <c r="G13" s="337"/>
      <c r="H13" s="338"/>
      <c r="I13" s="338"/>
      <c r="J13" s="338">
        <f>VLOOKUP(E14,Attachment!A3:D4,4,FALSE)</f>
        <v>-4.059055118110236</v>
      </c>
      <c r="K13" s="339"/>
      <c r="L13" s="339"/>
      <c r="M13" s="340"/>
      <c r="N13" s="340"/>
      <c r="O13" s="341"/>
      <c r="P13" s="335"/>
    </row>
    <row r="14" spans="1:16" ht="13.5" thickBot="1">
      <c r="A14" s="53"/>
      <c r="B14" s="118"/>
      <c r="C14" s="413" t="s">
        <v>139</v>
      </c>
      <c r="D14" s="415"/>
      <c r="E14" s="191" t="s">
        <v>224</v>
      </c>
      <c r="F14" s="106"/>
      <c r="G14" s="109"/>
      <c r="H14" s="25"/>
      <c r="I14" s="156">
        <f>VLOOKUP(E6,'Tractor Spec'!A1:J30,10,FALSE)</f>
        <v>-31.25</v>
      </c>
      <c r="J14" s="25">
        <f>VLOOKUP('4105'!E14,Attachment!A3:D4,2,FALSE)</f>
        <v>-1.575</v>
      </c>
      <c r="K14" s="217">
        <f>VLOOKUP('4105'!E14,Attachment!A3:D4,3,FALSE)</f>
        <v>65</v>
      </c>
      <c r="L14" s="216">
        <f>J14+I14</f>
        <v>-32.825</v>
      </c>
      <c r="M14" s="115">
        <f>K14*(L14/L8)</f>
        <v>-30.96698113207547</v>
      </c>
      <c r="N14" s="115">
        <f>K14-M14</f>
        <v>95.96698113207547</v>
      </c>
      <c r="O14" s="111"/>
      <c r="P14" s="53"/>
    </row>
    <row r="15" spans="1:16" ht="13.5" thickBot="1">
      <c r="A15" s="53"/>
      <c r="B15" s="118"/>
      <c r="C15" s="413" t="s">
        <v>364</v>
      </c>
      <c r="D15" s="415"/>
      <c r="E15" s="191" t="s">
        <v>460</v>
      </c>
      <c r="F15" s="320"/>
      <c r="G15" s="109"/>
      <c r="H15" s="25"/>
      <c r="I15" s="25"/>
      <c r="J15" s="25">
        <f>VLOOKUP(E15,Attachment!A11:C119,3,FALSE)</f>
        <v>-24</v>
      </c>
      <c r="K15" s="217">
        <f>VLOOKUP(E15,Attachment!A12:C119,2,FALSE)</f>
        <v>491.8032786885246</v>
      </c>
      <c r="L15" s="216">
        <f>I14+J15+J13</f>
        <v>-59.30905511811024</v>
      </c>
      <c r="M15" s="115">
        <f>K15*(L15/L8)</f>
        <v>-423.34379917278716</v>
      </c>
      <c r="N15" s="115">
        <f>K15-M15</f>
        <v>915.1470778613118</v>
      </c>
      <c r="O15" s="111"/>
      <c r="P15" s="53"/>
    </row>
    <row r="16" spans="1:16" ht="13.5" customHeight="1" hidden="1" thickBot="1">
      <c r="A16" s="53"/>
      <c r="B16" s="118"/>
      <c r="C16" s="413" t="s">
        <v>279</v>
      </c>
      <c r="D16" s="415"/>
      <c r="E16" s="191" t="s">
        <v>234</v>
      </c>
      <c r="F16" s="122"/>
      <c r="G16" s="123"/>
      <c r="H16" s="25"/>
      <c r="I16" s="25"/>
      <c r="J16" s="25"/>
      <c r="K16" s="217">
        <f>VLOOKUP(E16,Attachment!A133:C142,2,FALSE)</f>
        <v>0</v>
      </c>
      <c r="L16" s="216">
        <f>VLOOKUP(E16,Attachment!A133:C142,3,FALSE)</f>
        <v>0</v>
      </c>
      <c r="M16" s="115">
        <f>K16*(L16/L8)</f>
        <v>0</v>
      </c>
      <c r="N16" s="115">
        <f>K16-M16</f>
        <v>0</v>
      </c>
      <c r="O16" s="111"/>
      <c r="P16" s="53"/>
    </row>
    <row r="17" spans="1:16" ht="13.5" customHeight="1" hidden="1" thickBot="1">
      <c r="A17" s="53"/>
      <c r="B17" s="118"/>
      <c r="C17" s="413" t="s">
        <v>280</v>
      </c>
      <c r="D17" s="415"/>
      <c r="E17" s="191" t="s">
        <v>234</v>
      </c>
      <c r="F17" s="122"/>
      <c r="G17" s="123"/>
      <c r="H17" s="25"/>
      <c r="I17" s="25"/>
      <c r="J17" s="25"/>
      <c r="K17" s="217">
        <f>VLOOKUP(E17,Attachment!A83:C121,2,FALSE)</f>
        <v>0</v>
      </c>
      <c r="L17" s="216">
        <f>VLOOKUP(E17,Attachment!A133:C142,3,FALSE)</f>
        <v>0</v>
      </c>
      <c r="M17" s="115">
        <f>K17*(L17/L20)</f>
        <v>0</v>
      </c>
      <c r="N17" s="115">
        <f>K17-M17</f>
        <v>0</v>
      </c>
      <c r="O17" s="111"/>
      <c r="P17" s="53"/>
    </row>
    <row r="18" spans="1:16" ht="13.5" thickBot="1">
      <c r="A18" s="53"/>
      <c r="B18" s="118"/>
      <c r="C18" s="110"/>
      <c r="D18" s="110"/>
      <c r="E18" s="127"/>
      <c r="F18" s="173" t="s">
        <v>421</v>
      </c>
      <c r="G18" s="290"/>
      <c r="H18" s="153"/>
      <c r="I18" s="153"/>
      <c r="J18" s="153"/>
      <c r="K18" s="218"/>
      <c r="L18" s="218"/>
      <c r="M18" s="176">
        <f>SUM(M6:M9,M11:M17)</f>
        <v>926.2626200040083</v>
      </c>
      <c r="N18" s="176">
        <f>SUM(N6:N9,N11:N17)</f>
        <v>2864.6406586845164</v>
      </c>
      <c r="O18" s="111"/>
      <c r="P18" s="53"/>
    </row>
    <row r="19" spans="1:16" s="342" customFormat="1" ht="16.5" thickBot="1">
      <c r="A19" s="335"/>
      <c r="B19" s="336"/>
      <c r="C19" s="337"/>
      <c r="D19" s="337"/>
      <c r="E19" s="347" t="str">
        <f>IF(E15="No Attachment","","**Refer to Attachment Compatibility")</f>
        <v>**Refer to Attachment Compatibility</v>
      </c>
      <c r="F19" s="337"/>
      <c r="G19" s="337"/>
      <c r="H19" s="343"/>
      <c r="I19" s="343"/>
      <c r="J19" s="343"/>
      <c r="K19" s="344"/>
      <c r="L19" s="345"/>
      <c r="M19" s="337"/>
      <c r="N19" s="337"/>
      <c r="O19" s="341"/>
      <c r="P19" s="335"/>
    </row>
    <row r="20" spans="1:16" ht="13.5" thickBot="1">
      <c r="A20" s="53"/>
      <c r="B20" s="118"/>
      <c r="C20" s="413" t="s">
        <v>113</v>
      </c>
      <c r="D20" s="414"/>
      <c r="E20" s="190" t="s">
        <v>116</v>
      </c>
      <c r="F20" s="106"/>
      <c r="G20" s="107"/>
      <c r="I20">
        <f>VLOOKUP(E20,Tires!S2:T5,2,FALSE)</f>
        <v>0</v>
      </c>
      <c r="J20">
        <f>VLOOKUP(E8,Tires!S18:W73,5,FALSE)</f>
        <v>10.667</v>
      </c>
      <c r="K20" s="215">
        <f>IF(J20="NA",0,J20*I20)</f>
        <v>0</v>
      </c>
      <c r="L20" s="223">
        <f>L8</f>
        <v>68.9</v>
      </c>
      <c r="M20" s="114">
        <f>K20</f>
        <v>0</v>
      </c>
      <c r="N20" s="115">
        <v>0</v>
      </c>
      <c r="O20" s="111"/>
      <c r="P20" s="53"/>
    </row>
    <row r="21" spans="1:16" ht="13.5" thickBot="1">
      <c r="A21" s="53"/>
      <c r="B21" s="118"/>
      <c r="C21" s="413" t="s">
        <v>114</v>
      </c>
      <c r="D21" s="414"/>
      <c r="E21" s="190" t="s">
        <v>116</v>
      </c>
      <c r="F21" s="294">
        <f>IF(J21="NA","LIQUID BALLAST NOT RECOMMENDED","")</f>
      </c>
      <c r="G21" s="107"/>
      <c r="I21">
        <f>VLOOKUP(E21,Tires!S2:T5,2,FALSE)</f>
        <v>0</v>
      </c>
      <c r="J21">
        <f>VLOOKUP(E9,Tires!S18:W74,5,FALSE)</f>
        <v>50.1349</v>
      </c>
      <c r="K21" s="215">
        <f>IF(J21="NA",0,J21*I21)</f>
        <v>0</v>
      </c>
      <c r="L21" s="224">
        <v>0</v>
      </c>
      <c r="M21" s="114">
        <v>0</v>
      </c>
      <c r="N21" s="115">
        <f>K21</f>
        <v>0</v>
      </c>
      <c r="O21" s="111"/>
      <c r="P21" s="53"/>
    </row>
    <row r="22" spans="1:16" ht="13.5" thickBot="1">
      <c r="A22" s="53"/>
      <c r="B22" s="118"/>
      <c r="C22" s="110"/>
      <c r="D22" s="110"/>
      <c r="E22" s="105"/>
      <c r="F22" s="110"/>
      <c r="G22" s="110"/>
      <c r="H22" s="25"/>
      <c r="I22" s="25"/>
      <c r="J22" s="25"/>
      <c r="K22" s="217"/>
      <c r="L22" s="217"/>
      <c r="M22" s="130"/>
      <c r="N22" s="130"/>
      <c r="O22" s="111"/>
      <c r="P22" s="53"/>
    </row>
    <row r="23" spans="1:16" ht="13.5" thickBot="1">
      <c r="A23" s="53"/>
      <c r="B23" s="118"/>
      <c r="C23" s="413" t="s">
        <v>115</v>
      </c>
      <c r="D23" s="414"/>
      <c r="E23" s="190" t="s">
        <v>351</v>
      </c>
      <c r="F23" s="112"/>
      <c r="G23" s="113"/>
      <c r="H23" s="25">
        <f>VLOOKUP(E23,Weights!A54:D75,4,FALSE)</f>
        <v>3.070866141732284</v>
      </c>
      <c r="I23" s="158">
        <f>VLOOKUP(E6,'Tractor Spec'!A2:K19,11,FALSE)</f>
        <v>87.375</v>
      </c>
      <c r="J23" s="25">
        <f>VLOOKUP(E23,Weights!A54:D75,2,FALSE)</f>
        <v>1.535433070866142</v>
      </c>
      <c r="K23" s="217">
        <f>VLOOKUP(E23,Weights!A54:D75,3,FALSE)</f>
        <v>33.4595</v>
      </c>
      <c r="L23" s="217">
        <f>J23+I23</f>
        <v>88.91043307086615</v>
      </c>
      <c r="M23" s="115">
        <f>K23*(L23/L8)</f>
        <v>43.17704840834028</v>
      </c>
      <c r="N23" s="121">
        <f>K23-M23</f>
        <v>-9.717548408340285</v>
      </c>
      <c r="O23" s="111"/>
      <c r="P23" s="53"/>
    </row>
    <row r="24" spans="1:16" ht="13.5" thickBot="1">
      <c r="A24" s="53"/>
      <c r="B24" s="118"/>
      <c r="C24" s="413" t="s">
        <v>296</v>
      </c>
      <c r="D24" s="414"/>
      <c r="E24" s="190">
        <v>0</v>
      </c>
      <c r="F24" s="106"/>
      <c r="G24" s="109"/>
      <c r="H24" s="25">
        <v>3</v>
      </c>
      <c r="I24" s="25"/>
      <c r="J24" s="25"/>
      <c r="K24" s="217">
        <f>VLOOKUP(E24,Weights!B8:C18,2,FALSE)</f>
        <v>0</v>
      </c>
      <c r="L24" s="217">
        <f>I23+H23+H24</f>
        <v>93.44586614173228</v>
      </c>
      <c r="M24" s="115">
        <f>K24*(L24/L8)</f>
        <v>0</v>
      </c>
      <c r="N24" s="115">
        <f>K24-M24</f>
        <v>0</v>
      </c>
      <c r="O24" s="111"/>
      <c r="P24" s="53"/>
    </row>
    <row r="25" spans="1:16" ht="13.5" thickBot="1">
      <c r="A25" s="53"/>
      <c r="B25" s="118"/>
      <c r="C25" s="413" t="s">
        <v>249</v>
      </c>
      <c r="D25" s="414"/>
      <c r="E25" s="190" t="s">
        <v>242</v>
      </c>
      <c r="F25" s="106"/>
      <c r="G25" s="109"/>
      <c r="H25" s="25"/>
      <c r="I25" s="25"/>
      <c r="J25" s="25"/>
      <c r="K25" s="217">
        <f>VLOOKUP(E25,Weights!A59:C65,3,FALSE)</f>
        <v>0</v>
      </c>
      <c r="L25" s="217">
        <v>0</v>
      </c>
      <c r="M25" s="115">
        <v>0</v>
      </c>
      <c r="N25" s="114">
        <f>K25</f>
        <v>0</v>
      </c>
      <c r="O25" s="111"/>
      <c r="P25" s="53"/>
    </row>
    <row r="26" spans="1:16" ht="13.5" thickBot="1">
      <c r="A26" s="53"/>
      <c r="B26" s="118"/>
      <c r="C26" s="110"/>
      <c r="D26" s="110"/>
      <c r="E26" s="105"/>
      <c r="F26" s="173" t="s">
        <v>361</v>
      </c>
      <c r="G26" s="174"/>
      <c r="H26" s="25"/>
      <c r="I26" s="25"/>
      <c r="J26" s="25"/>
      <c r="K26" s="217"/>
      <c r="L26" s="217"/>
      <c r="M26" s="125">
        <f>IF(SUM(M23:M25,M12:M17)&gt;2006,("OVERLOAD"),IF(SUM(M6:M9,M20:M25,M12:M17)&lt;0,("BALLAST"),((SUM(M6:M9,M20:M25,M12:M17)))))</f>
        <v>969.4396684123487</v>
      </c>
      <c r="N26" s="125">
        <f>IF(SUM(N7,N23:N24,N12:N17)&gt;3224,("OVERLOAD"),IF(SUM(N6:N9,N19:N25,N12:N17)&lt;0,("BALLAST"),IF(M26="BALLAST",("-"),SUM(N6:N9,N19:N25,N12:N17))))</f>
        <v>2854.923110276176</v>
      </c>
      <c r="O26" s="111"/>
      <c r="P26" s="53"/>
    </row>
    <row r="27" spans="1:16" ht="13.5" thickBot="1">
      <c r="A27" s="53"/>
      <c r="B27" s="118"/>
      <c r="C27" s="110"/>
      <c r="D27" s="110"/>
      <c r="E27" s="127"/>
      <c r="F27" s="110"/>
      <c r="G27" s="110"/>
      <c r="H27" s="25"/>
      <c r="I27" s="154"/>
      <c r="J27" s="25"/>
      <c r="K27" s="219"/>
      <c r="L27" s="219"/>
      <c r="M27" s="110"/>
      <c r="N27" s="110"/>
      <c r="O27" s="111"/>
      <c r="P27" s="53"/>
    </row>
    <row r="28" spans="1:16" ht="13.5" thickBot="1">
      <c r="A28" s="53"/>
      <c r="B28" s="118"/>
      <c r="C28" s="110"/>
      <c r="D28" s="110"/>
      <c r="E28" s="127"/>
      <c r="F28" s="73" t="s">
        <v>362</v>
      </c>
      <c r="G28" s="110"/>
      <c r="H28" s="25"/>
      <c r="I28" s="25"/>
      <c r="J28" s="25"/>
      <c r="K28" s="217"/>
      <c r="L28" s="217"/>
      <c r="M28" s="73" t="s">
        <v>126</v>
      </c>
      <c r="N28" s="73" t="s">
        <v>1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25">
        <f>IF(M29="-",("-"),IF(N29="-",("-"),((SUM(M26:N26)))))</f>
        <v>3824.3627786885245</v>
      </c>
      <c r="G29" s="110"/>
      <c r="H29" s="25"/>
      <c r="I29" s="25"/>
      <c r="J29" s="25"/>
      <c r="K29" s="217"/>
      <c r="L29" s="217"/>
      <c r="M29" s="126">
        <f>IF(M26="OVERLOAD",("-"),IF(N26="OVERLOAD",("-"),IF(M26="BALLAST",("-"),IF(N26="BALLAST",("-"),IF(M26/SUM(M26:N26)&lt;0,("-"),IF(M26/SUM(M26:N26)&gt;1,("-"),((M26/SUM(M26:N26)))))))))</f>
        <v>0.2534905092724481</v>
      </c>
      <c r="N29" s="126">
        <f>IF(M26="OVERLOAD",("-"),IF(N26="OVERLOAD",("-"),IF(M26="BALLAST",("-"),IF(N26="BALLAST",("-"),IF(N26/SUM(M26:N26)&lt;0,("-"),IF(N26/SUM(M26:N26)&gt;1,("-"),((N26/SUM(M26:N26)))))))))</f>
        <v>0.746509490727552</v>
      </c>
      <c r="O29" s="111"/>
      <c r="P29" s="53"/>
    </row>
    <row r="30" spans="1:16" ht="13.5" thickBot="1">
      <c r="A30" s="53"/>
      <c r="B30" s="119"/>
      <c r="C30" s="120"/>
      <c r="D30" s="120"/>
      <c r="E30" s="128"/>
      <c r="F30" s="120"/>
      <c r="G30" s="120"/>
      <c r="H30" s="25"/>
      <c r="I30" s="25"/>
      <c r="J30" s="25"/>
      <c r="K30" s="220"/>
      <c r="L30" s="220"/>
      <c r="M30" s="350" t="str">
        <f>IF(M29&lt;0.2,("FRONT BALLAST RECOMMENDED"),IF(N29&lt;0.5,("REAR BALLAST RECOMMENDED")," "))</f>
        <v> </v>
      </c>
      <c r="N30" s="120"/>
      <c r="O30" s="131"/>
      <c r="P30" s="53"/>
    </row>
    <row r="31" spans="1:16" ht="13.5" thickBot="1">
      <c r="A31" s="53"/>
      <c r="B31" s="53"/>
      <c r="C31" s="53"/>
      <c r="D31" s="53"/>
      <c r="E31" s="108"/>
      <c r="F31" s="53"/>
      <c r="G31" s="53"/>
      <c r="M31" s="53"/>
      <c r="N31" s="53"/>
      <c r="O31" s="53"/>
      <c r="P31" s="53"/>
    </row>
    <row r="32" spans="1:16" ht="13.5" thickBot="1">
      <c r="A32" s="53"/>
      <c r="B32" s="53"/>
      <c r="C32" s="279" t="s">
        <v>259</v>
      </c>
      <c r="D32" s="53"/>
      <c r="E32" s="171"/>
      <c r="F32" s="179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4.5" customHeight="1" thickBot="1">
      <c r="A33" s="53"/>
      <c r="B33" s="53"/>
      <c r="C33" s="172"/>
      <c r="D33" s="53"/>
      <c r="E33" s="17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3.5" thickBot="1">
      <c r="A34" s="53"/>
      <c r="B34" s="53"/>
      <c r="C34" s="279" t="s">
        <v>448</v>
      </c>
      <c r="D34" s="53"/>
      <c r="E34" s="17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274</v>
      </c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2.75">
      <c r="A37" s="53"/>
      <c r="B37" s="53"/>
      <c r="C37" s="170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46.25" customHeight="1">
      <c r="A38" s="53"/>
      <c r="B38" s="53"/>
      <c r="C38" s="53"/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sheetProtection selectLockedCells="1"/>
  <mergeCells count="14">
    <mergeCell ref="C6:D6"/>
    <mergeCell ref="C8:D8"/>
    <mergeCell ref="C9:D9"/>
    <mergeCell ref="C20:D20"/>
    <mergeCell ref="C7:D7"/>
    <mergeCell ref="C21:D21"/>
    <mergeCell ref="C25:D25"/>
    <mergeCell ref="C24:D24"/>
    <mergeCell ref="C12:D12"/>
    <mergeCell ref="C17:D17"/>
    <mergeCell ref="C15:D15"/>
    <mergeCell ref="C23:D23"/>
    <mergeCell ref="C14:D14"/>
    <mergeCell ref="C16:D16"/>
  </mergeCells>
  <conditionalFormatting sqref="M26:N26">
    <cfRule type="cellIs" priority="1" dxfId="9" operator="equal" stopIfTrue="1">
      <formula>"OVERLOAD"</formula>
    </cfRule>
  </conditionalFormatting>
  <dataValidations count="12">
    <dataValidation type="list" allowBlank="1" showInputMessage="1" showErrorMessage="1" sqref="E12">
      <formula1>LOADER4005</formula1>
    </dataValidation>
    <dataValidation type="list" allowBlank="1" showInputMessage="1" showErrorMessage="1" sqref="E14">
      <formula1>IMATCH</formula1>
    </dataValidation>
    <dataValidation type="list" allowBlank="1" showInputMessage="1" showErrorMessage="1" sqref="E15 E17">
      <formula1>ATTACHMENTSREAR</formula1>
    </dataValidation>
    <dataValidation type="list" allowBlank="1" showInputMessage="1" showErrorMessage="1" sqref="E16">
      <formula1>ATTACHMENTSMID</formula1>
    </dataValidation>
    <dataValidation type="list" allowBlank="1" showInputMessage="1" showErrorMessage="1" sqref="E25">
      <formula1>WEIGHTREAR4005</formula1>
    </dataValidation>
    <dataValidation type="list" allowBlank="1" showInputMessage="1" showErrorMessage="1" sqref="E24">
      <formula1>WEIGHTQTY3E</formula1>
    </dataValidation>
    <dataValidation type="list" allowBlank="1" showInputMessage="1" showErrorMessage="1" sqref="E23">
      <formula1>WEIGHTBRACKET3X20</formula1>
    </dataValidation>
    <dataValidation type="list" allowBlank="1" showInputMessage="1" showErrorMessage="1" sqref="E21">
      <formula1>TIREFLUID</formula1>
    </dataValidation>
    <dataValidation type="list" allowBlank="1" showInputMessage="1" showErrorMessage="1" sqref="E8">
      <formula1>Front_4105</formula1>
    </dataValidation>
    <dataValidation type="list" allowBlank="1" showInputMessage="1" showErrorMessage="1" sqref="E9">
      <formula1>Rear_4105</formula1>
    </dataValidation>
    <dataValidation type="list" allowBlank="1" showInputMessage="1" showErrorMessage="1" sqref="E6">
      <formula1>X_4105</formula1>
    </dataValidation>
    <dataValidation type="list" allowBlank="1" showInputMessage="1" showErrorMessage="1" sqref="E20">
      <formula1>TIREFLUIDFRONT</formula1>
    </dataValidation>
  </dataValidations>
  <hyperlinks>
    <hyperlink ref="C36" location="'Cut Ballast Calculator Cover'!A1" display="Back "/>
    <hyperlink ref="C32" location="Attachment!A1" display="Attachment Compatibility"/>
    <hyperlink ref="C34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zoomScalePageLayoutView="0" workbookViewId="0" topLeftCell="A1">
      <selection activeCell="M3" sqref="M3"/>
    </sheetView>
  </sheetViews>
  <sheetFormatPr defaultColWidth="9.140625" defaultRowHeight="12.75"/>
  <cols>
    <col min="1" max="1" width="10.7109375" style="0" customWidth="1"/>
    <col min="3" max="3" width="31.7109375" style="0" customWidth="1"/>
    <col min="4" max="4" width="5.7109375" style="0" customWidth="1"/>
    <col min="5" max="5" width="35.7109375" style="56" customWidth="1"/>
    <col min="6" max="7" width="20.7109375" style="0" customWidth="1"/>
    <col min="8" max="8" width="16.140625" style="0" hidden="1" customWidth="1"/>
    <col min="9" max="9" width="12.00390625" style="0" hidden="1" customWidth="1"/>
    <col min="10" max="10" width="15.421875" style="0" hidden="1" customWidth="1"/>
    <col min="11" max="11" width="22.421875" style="0" hidden="1" customWidth="1"/>
    <col min="12" max="12" width="15.140625" style="0" hidden="1" customWidth="1"/>
    <col min="13" max="14" width="11.7109375" style="0" customWidth="1"/>
    <col min="16" max="16" width="35.7109375" style="0" customWidth="1"/>
  </cols>
  <sheetData>
    <row r="1" spans="1:16" ht="49.5" customHeight="1" thickBot="1">
      <c r="A1" s="53"/>
      <c r="B1" s="53"/>
      <c r="C1" s="53"/>
      <c r="D1" s="53"/>
      <c r="E1" s="108"/>
      <c r="F1" s="53"/>
      <c r="G1" s="53"/>
      <c r="K1" s="32"/>
      <c r="M1" s="53"/>
      <c r="N1" s="53"/>
      <c r="O1" s="53"/>
      <c r="P1" s="53"/>
    </row>
    <row r="2" spans="1:16" ht="18">
      <c r="A2" s="53"/>
      <c r="B2" s="116"/>
      <c r="C2" s="117"/>
      <c r="D2" s="117"/>
      <c r="E2" s="132"/>
      <c r="F2" s="117"/>
      <c r="G2" s="117"/>
      <c r="K2" s="155"/>
      <c r="M2" s="117"/>
      <c r="N2" s="117"/>
      <c r="O2" s="129"/>
      <c r="P2" s="53"/>
    </row>
    <row r="3" spans="1:16" ht="26.25">
      <c r="A3" s="53"/>
      <c r="B3" s="118"/>
      <c r="C3" s="110"/>
      <c r="D3" s="110"/>
      <c r="E3" s="134" t="s">
        <v>363</v>
      </c>
      <c r="F3" s="110"/>
      <c r="G3" s="110"/>
      <c r="H3" s="23" t="s">
        <v>128</v>
      </c>
      <c r="I3" s="22" t="s">
        <v>230</v>
      </c>
      <c r="J3" s="91" t="s">
        <v>233</v>
      </c>
      <c r="K3" s="157" t="s">
        <v>232</v>
      </c>
      <c r="L3" s="21" t="s">
        <v>231</v>
      </c>
      <c r="M3" s="110"/>
      <c r="N3" s="110"/>
      <c r="O3" s="111"/>
      <c r="P3" s="53"/>
    </row>
    <row r="4" spans="1:16" ht="18.75" thickBot="1">
      <c r="A4" s="53"/>
      <c r="B4" s="118"/>
      <c r="C4" s="110"/>
      <c r="D4" s="110"/>
      <c r="E4" s="133"/>
      <c r="F4" s="110"/>
      <c r="G4" s="110"/>
      <c r="J4" s="155"/>
      <c r="K4" s="155"/>
      <c r="M4" s="120"/>
      <c r="N4" s="120"/>
      <c r="O4" s="111"/>
      <c r="P4" s="53"/>
    </row>
    <row r="5" spans="1:16" ht="13.5" thickBot="1">
      <c r="A5" s="53"/>
      <c r="B5" s="118"/>
      <c r="C5" s="110"/>
      <c r="D5" s="110"/>
      <c r="E5" s="127"/>
      <c r="F5" s="110"/>
      <c r="G5" s="110"/>
      <c r="K5" s="225" t="s">
        <v>12</v>
      </c>
      <c r="L5" s="225" t="s">
        <v>133</v>
      </c>
      <c r="M5" s="124" t="s">
        <v>135</v>
      </c>
      <c r="N5" s="124" t="s">
        <v>136</v>
      </c>
      <c r="O5" s="111"/>
      <c r="P5" s="53"/>
    </row>
    <row r="6" spans="1:16" ht="13.5" thickBot="1">
      <c r="A6" s="53"/>
      <c r="B6" s="118"/>
      <c r="C6" s="413" t="s">
        <v>110</v>
      </c>
      <c r="D6" s="414"/>
      <c r="E6" s="230">
        <v>4720</v>
      </c>
      <c r="F6" s="106"/>
      <c r="G6" s="107"/>
      <c r="H6">
        <v>4120</v>
      </c>
      <c r="K6" s="214">
        <f>VLOOKUP(E6,'Tractor Spec'!A2:K19,3,FALSE)</f>
        <v>3153.621689672227</v>
      </c>
      <c r="L6" s="222">
        <f>VLOOKUP(E6,'Tractor Spec'!A2:K19,7,FALSE)</f>
        <v>34.13385826771654</v>
      </c>
      <c r="M6" s="114">
        <f>K6*(L6/L9)</f>
        <v>1505.5283326610988</v>
      </c>
      <c r="N6" s="115">
        <f>K6-M6</f>
        <v>1648.0933570111283</v>
      </c>
      <c r="O6" s="111"/>
      <c r="P6" s="53"/>
    </row>
    <row r="7" spans="1:16" ht="13.5" thickBot="1">
      <c r="A7" s="53"/>
      <c r="B7" s="118"/>
      <c r="C7" s="413" t="s">
        <v>454</v>
      </c>
      <c r="D7" s="414"/>
      <c r="E7" s="73" t="s">
        <v>457</v>
      </c>
      <c r="F7" s="106"/>
      <c r="G7" s="107"/>
      <c r="K7" s="214">
        <v>190</v>
      </c>
      <c r="L7" s="222">
        <f>VLOOKUP(E6,'Tractor Spec'!A2:L19,12,FALSE)</f>
        <v>9</v>
      </c>
      <c r="M7" s="114">
        <f>K7*(L7/L6)</f>
        <v>50.09688581314879</v>
      </c>
      <c r="N7" s="115">
        <f>K7-M7</f>
        <v>139.9031141868512</v>
      </c>
      <c r="O7" s="111"/>
      <c r="P7" s="53"/>
    </row>
    <row r="8" spans="1:16" ht="13.5" thickBot="1">
      <c r="A8" s="53"/>
      <c r="B8" s="118"/>
      <c r="C8" s="413" t="s">
        <v>357</v>
      </c>
      <c r="D8" s="415"/>
      <c r="E8" s="230" t="s">
        <v>358</v>
      </c>
      <c r="F8" s="294">
        <f>IF(E6=4120,"NO CAB OFFERED ON 4120","")</f>
      </c>
      <c r="G8" s="107"/>
      <c r="K8" s="219">
        <f>VLOOKUP(E8,'Tractor Spec'!A24:G25,3,FALSE)</f>
        <v>0</v>
      </c>
      <c r="L8" s="217">
        <f>VLOOKUP(E8,'Tractor Spec'!A24:G25,7,FALSE)</f>
        <v>0</v>
      </c>
      <c r="M8" s="114">
        <f>K8*(L8/L9)</f>
        <v>0</v>
      </c>
      <c r="N8" s="115">
        <f>K8-M8</f>
        <v>0</v>
      </c>
      <c r="O8" s="111"/>
      <c r="P8" s="53"/>
    </row>
    <row r="9" spans="1:16" ht="13.5" thickBot="1">
      <c r="A9" s="53"/>
      <c r="B9" s="118"/>
      <c r="C9" s="413" t="s">
        <v>111</v>
      </c>
      <c r="D9" s="414"/>
      <c r="E9" s="190" t="s">
        <v>108</v>
      </c>
      <c r="F9" s="106"/>
      <c r="G9" s="107"/>
      <c r="J9" s="92">
        <f>VLOOKUP(E9,Tires!S18:V103,3,FALSE)</f>
        <v>63.800000000000004</v>
      </c>
      <c r="K9" s="215">
        <f>J9*2</f>
        <v>127.60000000000001</v>
      </c>
      <c r="L9" s="223">
        <f>VLOOKUP(E6,'Tractor Spec'!A2:K19,6,FALSE)</f>
        <v>71.5</v>
      </c>
      <c r="M9" s="114">
        <f>K9</f>
        <v>127.60000000000001</v>
      </c>
      <c r="N9" s="115">
        <v>0</v>
      </c>
      <c r="O9" s="111"/>
      <c r="P9" s="53"/>
    </row>
    <row r="10" spans="1:16" ht="13.5" thickBot="1">
      <c r="A10" s="53"/>
      <c r="B10" s="118"/>
      <c r="C10" s="413" t="s">
        <v>112</v>
      </c>
      <c r="D10" s="414"/>
      <c r="E10" s="190" t="s">
        <v>105</v>
      </c>
      <c r="F10" s="106"/>
      <c r="G10" s="107"/>
      <c r="J10" s="92">
        <f>VLOOKUP(E10,Tires!S18:V48,3,FALSE)</f>
        <v>209.00000000000003</v>
      </c>
      <c r="K10" s="215">
        <f>J10*2</f>
        <v>418.00000000000006</v>
      </c>
      <c r="L10" s="224">
        <v>0</v>
      </c>
      <c r="M10" s="114">
        <v>0</v>
      </c>
      <c r="N10" s="115">
        <f>K10</f>
        <v>418.00000000000006</v>
      </c>
      <c r="O10" s="111"/>
      <c r="P10" s="53"/>
    </row>
    <row r="11" spans="1:16" ht="13.5" thickBot="1">
      <c r="A11" s="53"/>
      <c r="B11" s="118"/>
      <c r="C11" s="103"/>
      <c r="D11" s="104"/>
      <c r="E11" s="105"/>
      <c r="F11" s="173" t="s">
        <v>456</v>
      </c>
      <c r="G11" s="174"/>
      <c r="H11" s="288" t="s">
        <v>134</v>
      </c>
      <c r="I11" s="289">
        <f>SUM(K6:K10)</f>
        <v>3889.221689672227</v>
      </c>
      <c r="J11" s="288">
        <f>(SUMPRODUCT(K6:K10,L6:L10))/I11</f>
        <v>30.463338230342334</v>
      </c>
      <c r="K11" s="217"/>
      <c r="L11" s="217"/>
      <c r="M11" s="221">
        <f>SUM(M6:M10)</f>
        <v>1683.2252184742474</v>
      </c>
      <c r="N11" s="176">
        <f>SUM(N6:N10)</f>
        <v>2205.9964711979796</v>
      </c>
      <c r="O11" s="111"/>
      <c r="P11" s="53"/>
    </row>
    <row r="12" spans="1:16" ht="13.5" thickBot="1">
      <c r="A12" s="53"/>
      <c r="B12" s="118"/>
      <c r="C12" s="110"/>
      <c r="D12" s="110"/>
      <c r="E12" s="105"/>
      <c r="F12" s="110"/>
      <c r="G12" s="110"/>
      <c r="H12" s="25"/>
      <c r="I12" s="25"/>
      <c r="J12" s="25"/>
      <c r="K12" s="217"/>
      <c r="L12" s="217"/>
      <c r="M12" s="130"/>
      <c r="N12" s="130"/>
      <c r="O12" s="111"/>
      <c r="P12" s="53"/>
    </row>
    <row r="13" spans="1:16" ht="13.5" thickBot="1">
      <c r="A13" s="53"/>
      <c r="B13" s="118"/>
      <c r="C13" s="413" t="s">
        <v>425</v>
      </c>
      <c r="D13" s="414"/>
      <c r="E13" s="191" t="s">
        <v>138</v>
      </c>
      <c r="F13" s="320"/>
      <c r="G13" s="109"/>
      <c r="H13" s="25"/>
      <c r="I13" s="25"/>
      <c r="J13" s="25"/>
      <c r="K13" s="217">
        <f>VLOOKUP(E13,Attachment!A146:C163,2,FALSE)</f>
        <v>0</v>
      </c>
      <c r="L13" s="217">
        <f>VLOOKUP(E13,Attachment!A146:C163,3,FALSE)</f>
        <v>0</v>
      </c>
      <c r="M13" s="115">
        <f>K13*(L13/L9)</f>
        <v>0</v>
      </c>
      <c r="N13" s="115">
        <f>K13-M13</f>
        <v>0</v>
      </c>
      <c r="O13" s="111"/>
      <c r="P13" s="53"/>
    </row>
    <row r="14" spans="1:16" s="342" customFormat="1" ht="15.75" thickBot="1">
      <c r="A14" s="335"/>
      <c r="B14" s="336"/>
      <c r="C14" s="337"/>
      <c r="D14" s="337"/>
      <c r="E14" s="347" t="str">
        <f>IF(E13="No Loader"," ","**Refer to Loader Operator's Manual for Proper Ballast Recommendation")</f>
        <v> </v>
      </c>
      <c r="F14" s="337"/>
      <c r="G14" s="337"/>
      <c r="H14" s="338"/>
      <c r="I14" s="338"/>
      <c r="J14" s="338">
        <f>VLOOKUP(E15,Attachment!A3:D4,4,FALSE)</f>
        <v>-4.059055118110236</v>
      </c>
      <c r="K14" s="339"/>
      <c r="L14" s="339"/>
      <c r="M14" s="340"/>
      <c r="N14" s="340"/>
      <c r="O14" s="341"/>
      <c r="P14" s="335"/>
    </row>
    <row r="15" spans="1:16" ht="13.5" thickBot="1">
      <c r="A15" s="53"/>
      <c r="B15" s="118"/>
      <c r="C15" s="413" t="s">
        <v>139</v>
      </c>
      <c r="D15" s="414"/>
      <c r="E15" s="191" t="s">
        <v>224</v>
      </c>
      <c r="F15" s="106"/>
      <c r="G15" s="109"/>
      <c r="H15" s="25"/>
      <c r="I15" s="156">
        <f>VLOOKUP(E6,'Tractor Spec'!A1:J30,10,FALSE)</f>
        <v>-33.5</v>
      </c>
      <c r="J15" s="25">
        <f>VLOOKUP(4X20!E15,Attachment!A3:D4,2,FALSE)</f>
        <v>-1.575</v>
      </c>
      <c r="K15" s="217">
        <f>VLOOKUP(4X20!E15,Attachment!A3:D4,3,FALSE)</f>
        <v>65</v>
      </c>
      <c r="L15" s="216">
        <f>J15+I15</f>
        <v>-35.075</v>
      </c>
      <c r="M15" s="115">
        <f>K15*(L15/L9)</f>
        <v>-31.88636363636364</v>
      </c>
      <c r="N15" s="115">
        <f>K15-M15</f>
        <v>96.88636363636364</v>
      </c>
      <c r="O15" s="111"/>
      <c r="P15" s="53"/>
    </row>
    <row r="16" spans="1:16" ht="13.5" thickBot="1">
      <c r="A16" s="53"/>
      <c r="B16" s="118"/>
      <c r="C16" s="413" t="s">
        <v>278</v>
      </c>
      <c r="D16" s="414"/>
      <c r="E16" s="191" t="s">
        <v>470</v>
      </c>
      <c r="F16" s="320"/>
      <c r="G16" s="109"/>
      <c r="H16" s="25"/>
      <c r="I16" s="25"/>
      <c r="J16" s="25">
        <f>VLOOKUP(E16,Attachment!A11:C119,3,FALSE)</f>
        <v>-24</v>
      </c>
      <c r="K16" s="217">
        <f>VLOOKUP(E16,Attachment!A12:C119,2,FALSE)</f>
        <v>1311.4754098360656</v>
      </c>
      <c r="L16" s="216">
        <f>I15+J16+J14</f>
        <v>-61.55905511811024</v>
      </c>
      <c r="M16" s="115">
        <f>K16*(L16/L9)</f>
        <v>-1129.1354830789453</v>
      </c>
      <c r="N16" s="115">
        <f>K16-M16</f>
        <v>2440.610892915011</v>
      </c>
      <c r="O16" s="111"/>
      <c r="P16" s="53"/>
    </row>
    <row r="17" spans="1:16" ht="13.5" hidden="1" thickBot="1">
      <c r="A17" s="53"/>
      <c r="B17" s="118"/>
      <c r="C17" s="413" t="s">
        <v>279</v>
      </c>
      <c r="D17" s="414"/>
      <c r="E17" s="191" t="s">
        <v>234</v>
      </c>
      <c r="F17" s="122"/>
      <c r="G17" s="123"/>
      <c r="H17" s="25"/>
      <c r="I17" s="25"/>
      <c r="J17" s="25"/>
      <c r="K17" s="217">
        <f>VLOOKUP(E17,Attachment!A133:C142,2,FALSE)</f>
        <v>0</v>
      </c>
      <c r="L17" s="216">
        <f>VLOOKUP(E17,Attachment!A133:C142,3,FALSE)</f>
        <v>0</v>
      </c>
      <c r="M17" s="115">
        <f>K17*(L17/L9)</f>
        <v>0</v>
      </c>
      <c r="N17" s="115">
        <f>K17-M17</f>
        <v>0</v>
      </c>
      <c r="O17" s="111"/>
      <c r="P17" s="53"/>
    </row>
    <row r="18" spans="1:16" ht="13.5" hidden="1" thickBot="1">
      <c r="A18" s="53"/>
      <c r="B18" s="118"/>
      <c r="C18" s="413" t="s">
        <v>280</v>
      </c>
      <c r="D18" s="414"/>
      <c r="E18" s="191" t="s">
        <v>234</v>
      </c>
      <c r="F18" s="122" t="s">
        <v>70</v>
      </c>
      <c r="G18" s="123"/>
      <c r="H18" s="25"/>
      <c r="I18" s="25"/>
      <c r="J18" s="25"/>
      <c r="K18" s="217">
        <f>VLOOKUP(E18,Attachment!A83:C121,2,FALSE)</f>
        <v>0</v>
      </c>
      <c r="L18" s="216">
        <f>VLOOKUP(E18,Attachment!A133:C142,3,FALSE)</f>
        <v>0</v>
      </c>
      <c r="M18" s="115">
        <f>K18*(L18/L21)</f>
        <v>0</v>
      </c>
      <c r="N18" s="115">
        <f>K18-M18</f>
        <v>0</v>
      </c>
      <c r="O18" s="111"/>
      <c r="P18" s="53"/>
    </row>
    <row r="19" spans="1:16" ht="13.5" thickBot="1">
      <c r="A19" s="53"/>
      <c r="B19" s="118"/>
      <c r="C19" s="110"/>
      <c r="D19" s="110"/>
      <c r="E19" s="127"/>
      <c r="F19" s="173" t="s">
        <v>421</v>
      </c>
      <c r="G19" s="290"/>
      <c r="H19" s="153"/>
      <c r="I19" s="153"/>
      <c r="J19" s="153"/>
      <c r="K19" s="218"/>
      <c r="L19" s="218"/>
      <c r="M19" s="176">
        <f>SUM(M6:M10,M13:M18)</f>
        <v>522.2033717589384</v>
      </c>
      <c r="N19" s="221">
        <f>SUM(N20:N27,N6:N10)</f>
        <v>1948.1041292839882</v>
      </c>
      <c r="O19" s="111"/>
      <c r="P19" s="53"/>
    </row>
    <row r="20" spans="1:16" s="342" customFormat="1" ht="16.5" thickBot="1">
      <c r="A20" s="335"/>
      <c r="B20" s="336"/>
      <c r="C20" s="337"/>
      <c r="D20" s="337"/>
      <c r="E20" s="347" t="str">
        <f>IF(E16="No Attachment","","**Refer to Attachment Compatibility")</f>
        <v>**Refer to Attachment Compatibility</v>
      </c>
      <c r="F20" s="337"/>
      <c r="G20" s="337"/>
      <c r="H20" s="343"/>
      <c r="I20" s="343"/>
      <c r="J20" s="343"/>
      <c r="K20" s="344"/>
      <c r="L20" s="345"/>
      <c r="M20" s="337"/>
      <c r="N20" s="337"/>
      <c r="O20" s="341"/>
      <c r="P20" s="335"/>
    </row>
    <row r="21" spans="1:16" ht="13.5" thickBot="1">
      <c r="A21" s="53"/>
      <c r="B21" s="118"/>
      <c r="C21" s="413" t="s">
        <v>113</v>
      </c>
      <c r="D21" s="414"/>
      <c r="E21" s="190" t="s">
        <v>116</v>
      </c>
      <c r="F21" s="294"/>
      <c r="G21" s="107"/>
      <c r="I21">
        <f>VLOOKUP(E21,Tires!S2:T5,2,FALSE)</f>
        <v>0</v>
      </c>
      <c r="J21">
        <f>VLOOKUP(E9,Tires!S18:W103,5,FALSE)</f>
        <v>10.667</v>
      </c>
      <c r="K21" s="215">
        <f>IF(J21="NA","0",J21*I21)</f>
        <v>0</v>
      </c>
      <c r="L21" s="223">
        <f>L9</f>
        <v>71.5</v>
      </c>
      <c r="M21" s="353">
        <f>K21</f>
        <v>0</v>
      </c>
      <c r="N21" s="115">
        <v>0</v>
      </c>
      <c r="O21" s="111"/>
      <c r="P21" s="53"/>
    </row>
    <row r="22" spans="1:16" ht="13.5" thickBot="1">
      <c r="A22" s="53"/>
      <c r="B22" s="118"/>
      <c r="C22" s="413" t="s">
        <v>114</v>
      </c>
      <c r="D22" s="414"/>
      <c r="E22" s="190" t="s">
        <v>116</v>
      </c>
      <c r="F22" s="294">
        <f>IF(J22="NA","LIQUID BALLAST NOT RECOMMENDED","")</f>
      </c>
      <c r="G22" s="107"/>
      <c r="I22">
        <f>VLOOKUP(E22,Tires!S2:T5,2,FALSE)</f>
        <v>0</v>
      </c>
      <c r="J22">
        <f>VLOOKUP(E10,Tires!S18:W48,5,FALSE)</f>
        <v>39.4679</v>
      </c>
      <c r="K22" s="215">
        <f>IF(J22="NA","0",J22*I22)</f>
        <v>0</v>
      </c>
      <c r="L22" s="224">
        <v>0</v>
      </c>
      <c r="M22" s="114">
        <v>0</v>
      </c>
      <c r="N22" s="115">
        <f>K22</f>
        <v>0</v>
      </c>
      <c r="O22" s="111"/>
      <c r="P22" s="53"/>
    </row>
    <row r="23" spans="1:16" ht="13.5" thickBot="1">
      <c r="A23" s="53"/>
      <c r="B23" s="118"/>
      <c r="C23" s="110"/>
      <c r="D23" s="110"/>
      <c r="E23" s="105"/>
      <c r="F23" s="110"/>
      <c r="G23" s="110"/>
      <c r="H23" s="25"/>
      <c r="I23" s="25"/>
      <c r="J23" s="25"/>
      <c r="K23" s="217"/>
      <c r="L23" s="217"/>
      <c r="M23" s="130"/>
      <c r="N23" s="130"/>
      <c r="O23" s="111"/>
      <c r="P23" s="53"/>
    </row>
    <row r="24" spans="1:16" ht="13.5" thickBot="1">
      <c r="A24" s="53"/>
      <c r="B24" s="118"/>
      <c r="C24" s="413" t="s">
        <v>115</v>
      </c>
      <c r="D24" s="414"/>
      <c r="E24" s="190" t="s">
        <v>351</v>
      </c>
      <c r="F24" s="112"/>
      <c r="G24" s="113"/>
      <c r="H24" s="25">
        <f>VLOOKUP(E24,Weights!A5:D100,4,FALSE)</f>
        <v>3.070866141732284</v>
      </c>
      <c r="I24" s="158">
        <f>VLOOKUP(E6,'Tractor Spec'!A2:K19,11,FALSE)</f>
        <v>92</v>
      </c>
      <c r="J24" s="25">
        <f>VLOOKUP(E24,Weights!A5:D100,2,FALSE)</f>
        <v>1.535433070866142</v>
      </c>
      <c r="K24" s="217">
        <f>VLOOKUP(E24,Weights!A5:D100,3,FALSE)</f>
        <v>33.4595</v>
      </c>
      <c r="L24" s="217">
        <f>J24+I24</f>
        <v>93.53543307086615</v>
      </c>
      <c r="M24" s="115">
        <f>K24*(L24/L9)</f>
        <v>43.771312207477564</v>
      </c>
      <c r="N24" s="115">
        <f>K24-M24</f>
        <v>-10.311812207477566</v>
      </c>
      <c r="O24" s="111"/>
      <c r="P24" s="53"/>
    </row>
    <row r="25" spans="1:16" ht="13.5" thickBot="1">
      <c r="A25" s="53"/>
      <c r="B25" s="118"/>
      <c r="C25" s="413" t="s">
        <v>343</v>
      </c>
      <c r="D25" s="415"/>
      <c r="E25" s="190" t="s">
        <v>345</v>
      </c>
      <c r="F25" s="116"/>
      <c r="G25" s="117"/>
      <c r="H25" s="25"/>
      <c r="I25" s="25"/>
      <c r="J25" s="25"/>
      <c r="K25" s="217"/>
      <c r="L25" s="217"/>
      <c r="M25" s="130"/>
      <c r="N25" s="130"/>
      <c r="O25" s="111"/>
      <c r="P25" s="53"/>
    </row>
    <row r="26" spans="1:16" ht="13.5" thickBot="1">
      <c r="A26" s="53"/>
      <c r="B26" s="118"/>
      <c r="C26" s="413" t="s">
        <v>296</v>
      </c>
      <c r="D26" s="414"/>
      <c r="E26" s="190">
        <v>9</v>
      </c>
      <c r="F26" s="106"/>
      <c r="G26" s="109"/>
      <c r="H26" s="25">
        <f>VLOOKUP(E25,Weights!A9:F10,6,FALSE)</f>
        <v>4.52755905511811</v>
      </c>
      <c r="I26" s="25">
        <f>VLOOKUP(E25,Weights!A9:F10,5,FALSE)</f>
        <v>70</v>
      </c>
      <c r="J26" s="25"/>
      <c r="K26" s="217">
        <f>I26*E26</f>
        <v>630</v>
      </c>
      <c r="L26" s="217">
        <f>I24+H24+H26</f>
        <v>99.59842519685039</v>
      </c>
      <c r="M26" s="115">
        <f>K26*(L26/L9)</f>
        <v>877.5805297065139</v>
      </c>
      <c r="N26" s="115">
        <f>K26-M26</f>
        <v>-247.58052970651386</v>
      </c>
      <c r="O26" s="111"/>
      <c r="P26" s="53"/>
    </row>
    <row r="27" spans="1:16" ht="13.5" thickBot="1">
      <c r="A27" s="53"/>
      <c r="B27" s="118"/>
      <c r="C27" s="413" t="s">
        <v>249</v>
      </c>
      <c r="D27" s="414"/>
      <c r="E27" s="190" t="s">
        <v>242</v>
      </c>
      <c r="F27" s="106"/>
      <c r="G27" s="109"/>
      <c r="H27" s="25"/>
      <c r="I27" s="25"/>
      <c r="J27" s="25"/>
      <c r="K27" s="217">
        <f>VLOOKUP(E27,Weights!A59:C65,3,FALSE)</f>
        <v>0</v>
      </c>
      <c r="L27" s="217">
        <v>0</v>
      </c>
      <c r="M27" s="115">
        <v>0</v>
      </c>
      <c r="N27" s="114">
        <f>K27</f>
        <v>0</v>
      </c>
      <c r="O27" s="111"/>
      <c r="P27" s="53"/>
    </row>
    <row r="28" spans="1:16" ht="13.5" thickBot="1">
      <c r="A28" s="53"/>
      <c r="B28" s="118"/>
      <c r="C28" s="110"/>
      <c r="D28" s="110"/>
      <c r="E28" s="105"/>
      <c r="F28" s="173" t="s">
        <v>361</v>
      </c>
      <c r="G28" s="174"/>
      <c r="H28" s="25"/>
      <c r="I28" s="25"/>
      <c r="J28" s="25"/>
      <c r="K28" s="217"/>
      <c r="L28" s="217"/>
      <c r="M28" s="125">
        <f>IF(SUM(M24:M27,M13:M17)&gt;3520,("OVERLOAD"),IF(SUM(M6:M9,M21:M27,M12:M17)&lt;0,("BALLAST"),((SUM(M6:M9,M21:M27,M12:M17)))))</f>
        <v>1443.55521367293</v>
      </c>
      <c r="N28" s="125">
        <f>IF(SUM(N7,N24:N27,N12:N17)&gt;5292,("OVERLOAD"),IF(SUM(N6:N10,N20:N27,N12:N17)&lt;0,("BALLAST"),IF(M28="BALLAST",("-"),SUM(N6:N10,N21:N27,N13:N18))))</f>
        <v>4485.601385835363</v>
      </c>
      <c r="O28" s="111"/>
      <c r="P28" s="53"/>
    </row>
    <row r="29" spans="1:16" ht="13.5" thickBot="1">
      <c r="A29" s="53"/>
      <c r="B29" s="118"/>
      <c r="C29" s="110"/>
      <c r="D29" s="110"/>
      <c r="E29" s="127"/>
      <c r="F29" s="110"/>
      <c r="G29" s="110"/>
      <c r="H29" s="25"/>
      <c r="I29" s="154"/>
      <c r="J29" s="25"/>
      <c r="K29" s="219"/>
      <c r="L29" s="219"/>
      <c r="M29" s="110"/>
      <c r="N29" s="110"/>
      <c r="O29" s="111"/>
      <c r="P29" s="53"/>
    </row>
    <row r="30" spans="1:16" ht="13.5" thickBot="1">
      <c r="A30" s="53"/>
      <c r="B30" s="118"/>
      <c r="C30" s="110"/>
      <c r="D30" s="110"/>
      <c r="E30" s="127"/>
      <c r="F30" s="73" t="s">
        <v>362</v>
      </c>
      <c r="G30" s="110"/>
      <c r="H30" s="25"/>
      <c r="I30" s="25"/>
      <c r="J30" s="25"/>
      <c r="K30" s="217"/>
      <c r="L30" s="217"/>
      <c r="M30" s="73" t="s">
        <v>126</v>
      </c>
      <c r="N30" s="73" t="s">
        <v>1</v>
      </c>
      <c r="O30" s="111"/>
      <c r="P30" s="53"/>
    </row>
    <row r="31" spans="1:16" ht="13.5" thickBot="1">
      <c r="A31" s="53"/>
      <c r="B31" s="118"/>
      <c r="C31" s="110"/>
      <c r="D31" s="110"/>
      <c r="E31" s="127"/>
      <c r="F31" s="125">
        <f>IF(M31="-",("-"),IF(N31="-",("-"),((SUM(M28:N28)))))</f>
        <v>5929.156599508293</v>
      </c>
      <c r="G31" s="110"/>
      <c r="H31" s="25"/>
      <c r="I31" s="25"/>
      <c r="J31" s="25"/>
      <c r="K31" s="217"/>
      <c r="L31" s="217"/>
      <c r="M31" s="126">
        <f>IF(M28="OVERLOAD",("-"),IF(N28="OVERLOAD",("-"),IF(M28="BALLAST",("-"),IF(N28="BALLAST",("-"),IF(M28/SUM(M28:N28)&lt;0,("-"),IF(M28/SUM(M28:N28)&gt;1,("-"),((M28/SUM(M28:N28)))))))))</f>
        <v>0.2434672097870791</v>
      </c>
      <c r="N31" s="126">
        <f>IF(M28="OVERLOAD",("-"),IF(N28="OVERLOAD",("-"),IF(M28="BALLAST",("-"),IF(N28="BALLAST",("-"),IF(N28/SUM(M28:N28)&lt;0,("-"),IF(N28/SUM(M28:N28)&gt;1,("-"),((N28/SUM(M28:N28)))))))))</f>
        <v>0.7565327902129209</v>
      </c>
      <c r="O31" s="111"/>
      <c r="P31" s="53"/>
    </row>
    <row r="32" spans="1:16" ht="13.5" thickBot="1">
      <c r="A32" s="53"/>
      <c r="B32" s="119"/>
      <c r="C32" s="120"/>
      <c r="D32" s="120"/>
      <c r="E32" s="128"/>
      <c r="F32" s="120"/>
      <c r="G32" s="120"/>
      <c r="H32" s="25"/>
      <c r="I32" s="25"/>
      <c r="J32" s="25"/>
      <c r="K32" s="220"/>
      <c r="L32" s="220"/>
      <c r="M32" s="350" t="str">
        <f>IF(M31&lt;0.2,("FRONT BALLAST RECOMMENDED"),IF(N31&lt;0.5,("REAR BALLAST RECOMMENDED")," "))</f>
        <v> </v>
      </c>
      <c r="N32" s="120"/>
      <c r="O32" s="131"/>
      <c r="P32" s="53"/>
    </row>
    <row r="33" spans="1:16" ht="13.5" thickBot="1">
      <c r="A33" s="53"/>
      <c r="B33" s="53"/>
      <c r="C33" s="53"/>
      <c r="D33" s="53"/>
      <c r="E33" s="108"/>
      <c r="F33" s="53"/>
      <c r="G33" s="53"/>
      <c r="M33" s="53"/>
      <c r="N33" s="53"/>
      <c r="O33" s="53"/>
      <c r="P33" s="53"/>
    </row>
    <row r="34" spans="1:16" ht="13.5" thickBot="1">
      <c r="A34" s="53"/>
      <c r="B34" s="53"/>
      <c r="C34" s="279" t="s">
        <v>259</v>
      </c>
      <c r="D34" s="53"/>
      <c r="E34" s="171"/>
      <c r="F34" s="179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4.5" customHeight="1" thickBot="1">
      <c r="A35" s="53"/>
      <c r="B35" s="53"/>
      <c r="C35" s="172"/>
      <c r="D35" s="53"/>
      <c r="E35" s="17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3.5" thickBot="1">
      <c r="A36" s="53"/>
      <c r="B36" s="53"/>
      <c r="C36" s="279" t="s">
        <v>448</v>
      </c>
      <c r="D36" s="53"/>
      <c r="E36" s="17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4.5" customHeight="1" thickBot="1">
      <c r="A37" s="53"/>
      <c r="B37" s="53"/>
      <c r="C37" s="172"/>
      <c r="D37" s="53"/>
      <c r="E37" s="17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3.5" thickBot="1">
      <c r="A38" s="53"/>
      <c r="B38" s="53"/>
      <c r="C38" s="279" t="s">
        <v>274</v>
      </c>
      <c r="D38" s="53"/>
      <c r="E38" s="171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2.75">
      <c r="A39" s="53"/>
      <c r="B39" s="53"/>
      <c r="C39" s="170"/>
      <c r="D39" s="53"/>
      <c r="E39" s="171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46.25" customHeight="1">
      <c r="A40" s="53"/>
      <c r="B40" s="53"/>
      <c r="C40" s="53"/>
      <c r="D40" s="53"/>
      <c r="E40" s="171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</sheetData>
  <sheetProtection selectLockedCells="1"/>
  <mergeCells count="16">
    <mergeCell ref="C13:D13"/>
    <mergeCell ref="C6:D6"/>
    <mergeCell ref="C9:D9"/>
    <mergeCell ref="C10:D10"/>
    <mergeCell ref="C8:D8"/>
    <mergeCell ref="C7:D7"/>
    <mergeCell ref="C15:D15"/>
    <mergeCell ref="C17:D17"/>
    <mergeCell ref="C22:D22"/>
    <mergeCell ref="C27:D27"/>
    <mergeCell ref="C26:D26"/>
    <mergeCell ref="C21:D21"/>
    <mergeCell ref="C18:D18"/>
    <mergeCell ref="C25:D25"/>
    <mergeCell ref="C16:D16"/>
    <mergeCell ref="C24:D24"/>
  </mergeCells>
  <conditionalFormatting sqref="M28:N28">
    <cfRule type="cellIs" priority="1" dxfId="9" operator="equal" stopIfTrue="1">
      <formula>"OVERLOAD"</formula>
    </cfRule>
  </conditionalFormatting>
  <dataValidations count="14">
    <dataValidation type="list" allowBlank="1" showInputMessage="1" showErrorMessage="1" sqref="E13">
      <formula1>LOADER4X20</formula1>
    </dataValidation>
    <dataValidation type="list" allowBlank="1" showInputMessage="1" showErrorMessage="1" sqref="E15">
      <formula1>IMATCH</formula1>
    </dataValidation>
    <dataValidation type="list" allowBlank="1" showInputMessage="1" showErrorMessage="1" sqref="E16 E18">
      <formula1>ATTACHMENTSREAR</formula1>
    </dataValidation>
    <dataValidation type="list" allowBlank="1" showInputMessage="1" showErrorMessage="1" sqref="E17">
      <formula1>ATTACHMENTSMID</formula1>
    </dataValidation>
    <dataValidation type="list" allowBlank="1" showInputMessage="1" showErrorMessage="1" sqref="E27">
      <formula1>WEIGHTREAR4005</formula1>
    </dataValidation>
    <dataValidation type="list" allowBlank="1" showInputMessage="1" showErrorMessage="1" sqref="E26">
      <formula1>WEIGHTQTY4X20</formula1>
    </dataValidation>
    <dataValidation type="list" allowBlank="1" showInputMessage="1" showErrorMessage="1" sqref="E25">
      <formula1>WEIGHTS</formula1>
    </dataValidation>
    <dataValidation type="list" allowBlank="1" showInputMessage="1" showErrorMessage="1" sqref="E24">
      <formula1>WEIGHTBRACKET3X20</formula1>
    </dataValidation>
    <dataValidation type="list" allowBlank="1" showInputMessage="1" showErrorMessage="1" sqref="E22">
      <formula1>TIREFLUID</formula1>
    </dataValidation>
    <dataValidation type="list" allowBlank="1" showInputMessage="1" showErrorMessage="1" sqref="E9">
      <formula1>FRONTTIRES4X20</formula1>
    </dataValidation>
    <dataValidation type="list" allowBlank="1" showInputMessage="1" showErrorMessage="1" sqref="E10">
      <formula1>REARTIRES4X20</formula1>
    </dataValidation>
    <dataValidation type="list" allowBlank="1" showInputMessage="1" showErrorMessage="1" sqref="E6">
      <formula1>X20_4000</formula1>
    </dataValidation>
    <dataValidation type="list" allowBlank="1" showInputMessage="1" showErrorMessage="1" sqref="E8">
      <formula1>CAB4X20</formula1>
    </dataValidation>
    <dataValidation type="list" allowBlank="1" showInputMessage="1" showErrorMessage="1" sqref="E21">
      <formula1>TIREFLUIDFRONT</formula1>
    </dataValidation>
  </dataValidations>
  <hyperlinks>
    <hyperlink ref="C38" location="'Cut Ballast Calculator Cover'!A1" display="Back "/>
    <hyperlink ref="C34" location="Attachment!A1" display="Attachment Compatibility"/>
    <hyperlink ref="C36" r:id="rId1" display="Operator's Manual Search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Shubhi Shukla</cp:lastModifiedBy>
  <cp:lastPrinted>2009-04-22T14:35:27Z</cp:lastPrinted>
  <dcterms:created xsi:type="dcterms:W3CDTF">2009-05-19T11:12:14Z</dcterms:created>
  <dcterms:modified xsi:type="dcterms:W3CDTF">2011-03-08T12:13:12Z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